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MatthewStock\Downloads\"/>
    </mc:Choice>
  </mc:AlternateContent>
  <xr:revisionPtr revIDLastSave="0" documentId="13_ncr:1_{9A71F1C4-F045-42EB-88BA-D712849A9BF5}" xr6:coauthVersionLast="47" xr6:coauthVersionMax="47" xr10:uidLastSave="{00000000-0000-0000-0000-000000000000}"/>
  <bookViews>
    <workbookView xWindow="-120" yWindow="-16320" windowWidth="29040" windowHeight="15840" firstSheet="1" activeTab="1" xr2:uid="{00000000-000D-0000-FFFF-FFFF00000000}"/>
  </bookViews>
  <sheets>
    <sheet name="Input" sheetId="1" state="hidden" r:id="rId1"/>
    <sheet name="Lge_Scratch" sheetId="2" r:id="rId2"/>
    <sheet name="Lge_Women" sheetId="3" r:id="rId3"/>
    <sheet name="Lge_NonAero" sheetId="4" r:id="rId4"/>
    <sheet name="Lge_Vets" sheetId="5" r:id="rId5"/>
    <sheet name="Lge_HandCycles" sheetId="6" state="hidden" r:id="rId6"/>
    <sheet name="Lge_Junior" sheetId="7" state="hidden" r:id="rId7"/>
    <sheet name="Lge_Youth" sheetId="8" state="hidden" r:id="rId8"/>
    <sheet name="07 Jun" sheetId="9" r:id="rId9"/>
    <sheet name="14 Jun" sheetId="10" r:id="rId10"/>
    <sheet name="21Jun" sheetId="11" r:id="rId11"/>
    <sheet name="28 Jun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1" l="1"/>
  <c r="A5" i="11"/>
  <c r="J2" i="8"/>
  <c r="F2" i="8"/>
  <c r="J2" i="7"/>
  <c r="F2" i="7"/>
  <c r="L2" i="6"/>
  <c r="J2" i="6"/>
  <c r="K2" i="6" s="1"/>
  <c r="H2" i="6"/>
  <c r="F2" i="6"/>
  <c r="G2" i="6" s="1"/>
  <c r="J2" i="5"/>
  <c r="H2" i="5"/>
  <c r="G2" i="5"/>
  <c r="F2" i="5"/>
  <c r="L2" i="4"/>
  <c r="K2" i="4"/>
  <c r="J2" i="4"/>
  <c r="F2" i="4"/>
  <c r="J2" i="3"/>
  <c r="F2" i="3"/>
  <c r="K2" i="2"/>
  <c r="J2" i="2"/>
  <c r="F2" i="2"/>
  <c r="G2" i="2" s="1"/>
  <c r="F1000" i="1"/>
  <c r="E1000" i="1"/>
  <c r="D1000" i="1"/>
  <c r="C1000" i="1"/>
  <c r="B1000" i="1"/>
  <c r="A1000" i="1"/>
  <c r="F999" i="1"/>
  <c r="E999" i="1"/>
  <c r="D999" i="1"/>
  <c r="C999" i="1"/>
  <c r="B999" i="1"/>
  <c r="A999" i="1"/>
  <c r="F998" i="1"/>
  <c r="E998" i="1"/>
  <c r="D998" i="1"/>
  <c r="C998" i="1"/>
  <c r="B998" i="1"/>
  <c r="A998" i="1"/>
  <c r="F997" i="1"/>
  <c r="E997" i="1"/>
  <c r="D997" i="1"/>
  <c r="C997" i="1"/>
  <c r="B997" i="1"/>
  <c r="A997" i="1"/>
  <c r="F996" i="1"/>
  <c r="E996" i="1"/>
  <c r="D996" i="1"/>
  <c r="C996" i="1"/>
  <c r="B996" i="1"/>
  <c r="A996" i="1"/>
  <c r="F995" i="1"/>
  <c r="E995" i="1"/>
  <c r="D995" i="1"/>
  <c r="C995" i="1"/>
  <c r="B995" i="1"/>
  <c r="A995" i="1"/>
  <c r="F994" i="1"/>
  <c r="E994" i="1"/>
  <c r="D994" i="1"/>
  <c r="C994" i="1"/>
  <c r="B994" i="1"/>
  <c r="A994" i="1"/>
  <c r="F993" i="1"/>
  <c r="E993" i="1"/>
  <c r="D993" i="1"/>
  <c r="C993" i="1"/>
  <c r="B993" i="1"/>
  <c r="A993" i="1"/>
  <c r="F992" i="1"/>
  <c r="E992" i="1"/>
  <c r="D992" i="1"/>
  <c r="C992" i="1"/>
  <c r="B992" i="1"/>
  <c r="A992" i="1"/>
  <c r="F991" i="1"/>
  <c r="E991" i="1"/>
  <c r="D991" i="1"/>
  <c r="C991" i="1"/>
  <c r="B991" i="1"/>
  <c r="A991" i="1"/>
  <c r="F990" i="1"/>
  <c r="E990" i="1"/>
  <c r="D990" i="1"/>
  <c r="C990" i="1"/>
  <c r="B990" i="1"/>
  <c r="A990" i="1"/>
  <c r="F989" i="1"/>
  <c r="E989" i="1"/>
  <c r="D989" i="1"/>
  <c r="C989" i="1"/>
  <c r="B989" i="1"/>
  <c r="A989" i="1"/>
  <c r="F988" i="1"/>
  <c r="E988" i="1"/>
  <c r="D988" i="1"/>
  <c r="C988" i="1"/>
  <c r="B988" i="1"/>
  <c r="A988" i="1"/>
  <c r="F987" i="1"/>
  <c r="E987" i="1"/>
  <c r="D987" i="1"/>
  <c r="C987" i="1"/>
  <c r="B987" i="1"/>
  <c r="A987" i="1"/>
  <c r="F986" i="1"/>
  <c r="E986" i="1"/>
  <c r="D986" i="1"/>
  <c r="C986" i="1"/>
  <c r="B986" i="1"/>
  <c r="A986" i="1"/>
  <c r="F985" i="1"/>
  <c r="E985" i="1"/>
  <c r="D985" i="1"/>
  <c r="C985" i="1"/>
  <c r="B985" i="1"/>
  <c r="A985" i="1"/>
  <c r="F984" i="1"/>
  <c r="E984" i="1"/>
  <c r="D984" i="1"/>
  <c r="C984" i="1"/>
  <c r="B984" i="1"/>
  <c r="A984" i="1"/>
  <c r="F983" i="1"/>
  <c r="E983" i="1"/>
  <c r="D983" i="1"/>
  <c r="C983" i="1"/>
  <c r="B983" i="1"/>
  <c r="A983" i="1"/>
  <c r="F982" i="1"/>
  <c r="E982" i="1"/>
  <c r="D982" i="1"/>
  <c r="C982" i="1"/>
  <c r="B982" i="1"/>
  <c r="A982" i="1"/>
  <c r="F981" i="1"/>
  <c r="E981" i="1"/>
  <c r="D981" i="1"/>
  <c r="C981" i="1"/>
  <c r="B981" i="1"/>
  <c r="A981" i="1"/>
  <c r="F980" i="1"/>
  <c r="E980" i="1"/>
  <c r="D980" i="1"/>
  <c r="C980" i="1"/>
  <c r="B980" i="1"/>
  <c r="A980" i="1"/>
  <c r="F979" i="1"/>
  <c r="E979" i="1"/>
  <c r="D979" i="1"/>
  <c r="C979" i="1"/>
  <c r="B979" i="1"/>
  <c r="A979" i="1"/>
  <c r="F978" i="1"/>
  <c r="E978" i="1"/>
  <c r="D978" i="1"/>
  <c r="C978" i="1"/>
  <c r="B978" i="1"/>
  <c r="A978" i="1"/>
  <c r="F977" i="1"/>
  <c r="E977" i="1"/>
  <c r="D977" i="1"/>
  <c r="C977" i="1"/>
  <c r="B977" i="1"/>
  <c r="A977" i="1"/>
  <c r="F976" i="1"/>
  <c r="E976" i="1"/>
  <c r="D976" i="1"/>
  <c r="C976" i="1"/>
  <c r="B976" i="1"/>
  <c r="A976" i="1"/>
  <c r="F975" i="1"/>
  <c r="E975" i="1"/>
  <c r="D975" i="1"/>
  <c r="C975" i="1"/>
  <c r="B975" i="1"/>
  <c r="A975" i="1"/>
  <c r="F974" i="1"/>
  <c r="E974" i="1"/>
  <c r="D974" i="1"/>
  <c r="C974" i="1"/>
  <c r="B974" i="1"/>
  <c r="A974" i="1"/>
  <c r="F973" i="1"/>
  <c r="E973" i="1"/>
  <c r="D973" i="1"/>
  <c r="C973" i="1"/>
  <c r="B973" i="1"/>
  <c r="A973" i="1"/>
  <c r="F972" i="1"/>
  <c r="E972" i="1"/>
  <c r="D972" i="1"/>
  <c r="C972" i="1"/>
  <c r="B972" i="1"/>
  <c r="A972" i="1"/>
  <c r="F971" i="1"/>
  <c r="E971" i="1"/>
  <c r="D971" i="1"/>
  <c r="C971" i="1"/>
  <c r="B971" i="1"/>
  <c r="A971" i="1"/>
  <c r="F970" i="1"/>
  <c r="E970" i="1"/>
  <c r="D970" i="1"/>
  <c r="C970" i="1"/>
  <c r="B970" i="1"/>
  <c r="A970" i="1"/>
  <c r="F969" i="1"/>
  <c r="E969" i="1"/>
  <c r="D969" i="1"/>
  <c r="C969" i="1"/>
  <c r="B969" i="1"/>
  <c r="A969" i="1"/>
  <c r="F968" i="1"/>
  <c r="E968" i="1"/>
  <c r="D968" i="1"/>
  <c r="C968" i="1"/>
  <c r="B968" i="1"/>
  <c r="A968" i="1"/>
  <c r="F967" i="1"/>
  <c r="E967" i="1"/>
  <c r="D967" i="1"/>
  <c r="C967" i="1"/>
  <c r="B967" i="1"/>
  <c r="A967" i="1"/>
  <c r="F966" i="1"/>
  <c r="E966" i="1"/>
  <c r="D966" i="1"/>
  <c r="C966" i="1"/>
  <c r="B966" i="1"/>
  <c r="A966" i="1"/>
  <c r="F965" i="1"/>
  <c r="E965" i="1"/>
  <c r="D965" i="1"/>
  <c r="C965" i="1"/>
  <c r="B965" i="1"/>
  <c r="A965" i="1"/>
  <c r="F964" i="1"/>
  <c r="E964" i="1"/>
  <c r="D964" i="1"/>
  <c r="C964" i="1"/>
  <c r="B964" i="1"/>
  <c r="A964" i="1"/>
  <c r="F963" i="1"/>
  <c r="E963" i="1"/>
  <c r="D963" i="1"/>
  <c r="C963" i="1"/>
  <c r="B963" i="1"/>
  <c r="A963" i="1"/>
  <c r="F962" i="1"/>
  <c r="E962" i="1"/>
  <c r="D962" i="1"/>
  <c r="C962" i="1"/>
  <c r="B962" i="1"/>
  <c r="A962" i="1"/>
  <c r="F961" i="1"/>
  <c r="E961" i="1"/>
  <c r="D961" i="1"/>
  <c r="C961" i="1"/>
  <c r="B961" i="1"/>
  <c r="A961" i="1"/>
  <c r="F960" i="1"/>
  <c r="E960" i="1"/>
  <c r="D960" i="1"/>
  <c r="C960" i="1"/>
  <c r="B960" i="1"/>
  <c r="A960" i="1"/>
  <c r="F959" i="1"/>
  <c r="E959" i="1"/>
  <c r="D959" i="1"/>
  <c r="C959" i="1"/>
  <c r="B959" i="1"/>
  <c r="A959" i="1"/>
  <c r="F958" i="1"/>
  <c r="E958" i="1"/>
  <c r="D958" i="1"/>
  <c r="C958" i="1"/>
  <c r="B958" i="1"/>
  <c r="A958" i="1"/>
  <c r="F957" i="1"/>
  <c r="E957" i="1"/>
  <c r="D957" i="1"/>
  <c r="C957" i="1"/>
  <c r="B957" i="1"/>
  <c r="A957" i="1"/>
  <c r="F956" i="1"/>
  <c r="E956" i="1"/>
  <c r="D956" i="1"/>
  <c r="C956" i="1"/>
  <c r="B956" i="1"/>
  <c r="A956" i="1"/>
  <c r="F955" i="1"/>
  <c r="E955" i="1"/>
  <c r="D955" i="1"/>
  <c r="C955" i="1"/>
  <c r="B955" i="1"/>
  <c r="A955" i="1"/>
  <c r="F954" i="1"/>
  <c r="E954" i="1"/>
  <c r="D954" i="1"/>
  <c r="C954" i="1"/>
  <c r="B954" i="1"/>
  <c r="A954" i="1"/>
  <c r="F953" i="1"/>
  <c r="E953" i="1"/>
  <c r="D953" i="1"/>
  <c r="C953" i="1"/>
  <c r="B953" i="1"/>
  <c r="A953" i="1"/>
  <c r="F952" i="1"/>
  <c r="E952" i="1"/>
  <c r="D952" i="1"/>
  <c r="C952" i="1"/>
  <c r="B952" i="1"/>
  <c r="A952" i="1"/>
  <c r="F951" i="1"/>
  <c r="E951" i="1"/>
  <c r="D951" i="1"/>
  <c r="C951" i="1"/>
  <c r="B951" i="1"/>
  <c r="A951" i="1"/>
  <c r="F950" i="1"/>
  <c r="E950" i="1"/>
  <c r="D950" i="1"/>
  <c r="C950" i="1"/>
  <c r="B950" i="1"/>
  <c r="A950" i="1"/>
  <c r="F949" i="1"/>
  <c r="E949" i="1"/>
  <c r="D949" i="1"/>
  <c r="C949" i="1"/>
  <c r="B949" i="1"/>
  <c r="A949" i="1"/>
  <c r="F948" i="1"/>
  <c r="E948" i="1"/>
  <c r="D948" i="1"/>
  <c r="C948" i="1"/>
  <c r="B948" i="1"/>
  <c r="A948" i="1"/>
  <c r="F947" i="1"/>
  <c r="E947" i="1"/>
  <c r="D947" i="1"/>
  <c r="C947" i="1"/>
  <c r="B947" i="1"/>
  <c r="A947" i="1"/>
  <c r="F946" i="1"/>
  <c r="E946" i="1"/>
  <c r="D946" i="1"/>
  <c r="C946" i="1"/>
  <c r="B946" i="1"/>
  <c r="A946" i="1"/>
  <c r="F945" i="1"/>
  <c r="E945" i="1"/>
  <c r="D945" i="1"/>
  <c r="C945" i="1"/>
  <c r="B945" i="1"/>
  <c r="A945" i="1"/>
  <c r="F944" i="1"/>
  <c r="E944" i="1"/>
  <c r="D944" i="1"/>
  <c r="C944" i="1"/>
  <c r="B944" i="1"/>
  <c r="A944" i="1"/>
  <c r="F943" i="1"/>
  <c r="E943" i="1"/>
  <c r="D943" i="1"/>
  <c r="C943" i="1"/>
  <c r="B943" i="1"/>
  <c r="A943" i="1"/>
  <c r="F942" i="1"/>
  <c r="E942" i="1"/>
  <c r="D942" i="1"/>
  <c r="C942" i="1"/>
  <c r="B942" i="1"/>
  <c r="A942" i="1"/>
  <c r="F941" i="1"/>
  <c r="E941" i="1"/>
  <c r="D941" i="1"/>
  <c r="C941" i="1"/>
  <c r="B941" i="1"/>
  <c r="A941" i="1"/>
  <c r="F940" i="1"/>
  <c r="E940" i="1"/>
  <c r="D940" i="1"/>
  <c r="C940" i="1"/>
  <c r="B940" i="1"/>
  <c r="A940" i="1"/>
  <c r="F939" i="1"/>
  <c r="E939" i="1"/>
  <c r="D939" i="1"/>
  <c r="C939" i="1"/>
  <c r="B939" i="1"/>
  <c r="A939" i="1"/>
  <c r="F938" i="1"/>
  <c r="E938" i="1"/>
  <c r="D938" i="1"/>
  <c r="C938" i="1"/>
  <c r="B938" i="1"/>
  <c r="A938" i="1"/>
  <c r="F937" i="1"/>
  <c r="E937" i="1"/>
  <c r="D937" i="1"/>
  <c r="C937" i="1"/>
  <c r="B937" i="1"/>
  <c r="A937" i="1"/>
  <c r="F936" i="1"/>
  <c r="E936" i="1"/>
  <c r="D936" i="1"/>
  <c r="C936" i="1"/>
  <c r="B936" i="1"/>
  <c r="A936" i="1"/>
  <c r="F935" i="1"/>
  <c r="E935" i="1"/>
  <c r="D935" i="1"/>
  <c r="C935" i="1"/>
  <c r="B935" i="1"/>
  <c r="A935" i="1"/>
  <c r="F934" i="1"/>
  <c r="E934" i="1"/>
  <c r="D934" i="1"/>
  <c r="C934" i="1"/>
  <c r="B934" i="1"/>
  <c r="A934" i="1"/>
  <c r="F933" i="1"/>
  <c r="E933" i="1"/>
  <c r="D933" i="1"/>
  <c r="C933" i="1"/>
  <c r="B933" i="1"/>
  <c r="A933" i="1"/>
  <c r="F932" i="1"/>
  <c r="E932" i="1"/>
  <c r="D932" i="1"/>
  <c r="C932" i="1"/>
  <c r="B932" i="1"/>
  <c r="A932" i="1"/>
  <c r="F931" i="1"/>
  <c r="E931" i="1"/>
  <c r="D931" i="1"/>
  <c r="C931" i="1"/>
  <c r="B931" i="1"/>
  <c r="A931" i="1"/>
  <c r="F930" i="1"/>
  <c r="E930" i="1"/>
  <c r="D930" i="1"/>
  <c r="C930" i="1"/>
  <c r="B930" i="1"/>
  <c r="A930" i="1"/>
  <c r="F929" i="1"/>
  <c r="E929" i="1"/>
  <c r="D929" i="1"/>
  <c r="C929" i="1"/>
  <c r="B929" i="1"/>
  <c r="A929" i="1"/>
  <c r="F928" i="1"/>
  <c r="E928" i="1"/>
  <c r="D928" i="1"/>
  <c r="C928" i="1"/>
  <c r="B928" i="1"/>
  <c r="A928" i="1"/>
  <c r="F927" i="1"/>
  <c r="E927" i="1"/>
  <c r="D927" i="1"/>
  <c r="C927" i="1"/>
  <c r="B927" i="1"/>
  <c r="A927" i="1"/>
  <c r="F926" i="1"/>
  <c r="E926" i="1"/>
  <c r="D926" i="1"/>
  <c r="C926" i="1"/>
  <c r="B926" i="1"/>
  <c r="A926" i="1"/>
  <c r="F925" i="1"/>
  <c r="E925" i="1"/>
  <c r="D925" i="1"/>
  <c r="C925" i="1"/>
  <c r="B925" i="1"/>
  <c r="A925" i="1"/>
  <c r="F924" i="1"/>
  <c r="E924" i="1"/>
  <c r="D924" i="1"/>
  <c r="C924" i="1"/>
  <c r="B924" i="1"/>
  <c r="A924" i="1"/>
  <c r="F923" i="1"/>
  <c r="E923" i="1"/>
  <c r="D923" i="1"/>
  <c r="C923" i="1"/>
  <c r="B923" i="1"/>
  <c r="A923" i="1"/>
  <c r="F922" i="1"/>
  <c r="E922" i="1"/>
  <c r="D922" i="1"/>
  <c r="C922" i="1"/>
  <c r="B922" i="1"/>
  <c r="A922" i="1"/>
  <c r="F921" i="1"/>
  <c r="E921" i="1"/>
  <c r="D921" i="1"/>
  <c r="C921" i="1"/>
  <c r="B921" i="1"/>
  <c r="A921" i="1"/>
  <c r="F920" i="1"/>
  <c r="E920" i="1"/>
  <c r="D920" i="1"/>
  <c r="C920" i="1"/>
  <c r="B920" i="1"/>
  <c r="A920" i="1"/>
  <c r="F919" i="1"/>
  <c r="E919" i="1"/>
  <c r="D919" i="1"/>
  <c r="C919" i="1"/>
  <c r="B919" i="1"/>
  <c r="A919" i="1"/>
  <c r="F918" i="1"/>
  <c r="E918" i="1"/>
  <c r="D918" i="1"/>
  <c r="C918" i="1"/>
  <c r="B918" i="1"/>
  <c r="A918" i="1"/>
  <c r="F917" i="1"/>
  <c r="E917" i="1"/>
  <c r="D917" i="1"/>
  <c r="C917" i="1"/>
  <c r="B917" i="1"/>
  <c r="A917" i="1"/>
  <c r="F916" i="1"/>
  <c r="E916" i="1"/>
  <c r="D916" i="1"/>
  <c r="C916" i="1"/>
  <c r="B916" i="1"/>
  <c r="A916" i="1"/>
  <c r="F915" i="1"/>
  <c r="E915" i="1"/>
  <c r="D915" i="1"/>
  <c r="C915" i="1"/>
  <c r="B915" i="1"/>
  <c r="A915" i="1"/>
  <c r="F914" i="1"/>
  <c r="E914" i="1"/>
  <c r="D914" i="1"/>
  <c r="C914" i="1"/>
  <c r="B914" i="1"/>
  <c r="A914" i="1"/>
  <c r="F913" i="1"/>
  <c r="E913" i="1"/>
  <c r="D913" i="1"/>
  <c r="C913" i="1"/>
  <c r="B913" i="1"/>
  <c r="A913" i="1"/>
  <c r="F912" i="1"/>
  <c r="E912" i="1"/>
  <c r="D912" i="1"/>
  <c r="C912" i="1"/>
  <c r="B912" i="1"/>
  <c r="A912" i="1"/>
  <c r="F911" i="1"/>
  <c r="E911" i="1"/>
  <c r="D911" i="1"/>
  <c r="C911" i="1"/>
  <c r="B911" i="1"/>
  <c r="A911" i="1"/>
  <c r="F910" i="1"/>
  <c r="E910" i="1"/>
  <c r="D910" i="1"/>
  <c r="C910" i="1"/>
  <c r="B910" i="1"/>
  <c r="A910" i="1"/>
  <c r="F909" i="1"/>
  <c r="E909" i="1"/>
  <c r="D909" i="1"/>
  <c r="C909" i="1"/>
  <c r="B909" i="1"/>
  <c r="A909" i="1"/>
  <c r="F908" i="1"/>
  <c r="E908" i="1"/>
  <c r="D908" i="1"/>
  <c r="C908" i="1"/>
  <c r="B908" i="1"/>
  <c r="A908" i="1"/>
  <c r="F907" i="1"/>
  <c r="E907" i="1"/>
  <c r="D907" i="1"/>
  <c r="C907" i="1"/>
  <c r="B907" i="1"/>
  <c r="A907" i="1"/>
  <c r="F906" i="1"/>
  <c r="E906" i="1"/>
  <c r="D906" i="1"/>
  <c r="C906" i="1"/>
  <c r="B906" i="1"/>
  <c r="A906" i="1"/>
  <c r="F905" i="1"/>
  <c r="E905" i="1"/>
  <c r="D905" i="1"/>
  <c r="C905" i="1"/>
  <c r="B905" i="1"/>
  <c r="A905" i="1"/>
  <c r="F904" i="1"/>
  <c r="E904" i="1"/>
  <c r="D904" i="1"/>
  <c r="C904" i="1"/>
  <c r="B904" i="1"/>
  <c r="A904" i="1"/>
  <c r="F903" i="1"/>
  <c r="E903" i="1"/>
  <c r="D903" i="1"/>
  <c r="C903" i="1"/>
  <c r="B903" i="1"/>
  <c r="A903" i="1"/>
  <c r="F902" i="1"/>
  <c r="E902" i="1"/>
  <c r="D902" i="1"/>
  <c r="C902" i="1"/>
  <c r="B902" i="1"/>
  <c r="A902" i="1"/>
  <c r="F901" i="1"/>
  <c r="E901" i="1"/>
  <c r="D901" i="1"/>
  <c r="C901" i="1"/>
  <c r="B901" i="1"/>
  <c r="A901" i="1"/>
  <c r="F900" i="1"/>
  <c r="E900" i="1"/>
  <c r="D900" i="1"/>
  <c r="C900" i="1"/>
  <c r="B900" i="1"/>
  <c r="A900" i="1"/>
  <c r="F899" i="1"/>
  <c r="E899" i="1"/>
  <c r="D899" i="1"/>
  <c r="C899" i="1"/>
  <c r="B899" i="1"/>
  <c r="A899" i="1"/>
  <c r="F898" i="1"/>
  <c r="E898" i="1"/>
  <c r="D898" i="1"/>
  <c r="C898" i="1"/>
  <c r="B898" i="1"/>
  <c r="A898" i="1"/>
  <c r="F897" i="1"/>
  <c r="E897" i="1"/>
  <c r="D897" i="1"/>
  <c r="C897" i="1"/>
  <c r="B897" i="1"/>
  <c r="A897" i="1"/>
  <c r="F896" i="1"/>
  <c r="E896" i="1"/>
  <c r="D896" i="1"/>
  <c r="C896" i="1"/>
  <c r="B896" i="1"/>
  <c r="A896" i="1"/>
  <c r="F895" i="1"/>
  <c r="E895" i="1"/>
  <c r="D895" i="1"/>
  <c r="C895" i="1"/>
  <c r="B895" i="1"/>
  <c r="A895" i="1"/>
  <c r="F894" i="1"/>
  <c r="E894" i="1"/>
  <c r="D894" i="1"/>
  <c r="C894" i="1"/>
  <c r="B894" i="1"/>
  <c r="A894" i="1"/>
  <c r="F893" i="1"/>
  <c r="E893" i="1"/>
  <c r="D893" i="1"/>
  <c r="C893" i="1"/>
  <c r="B893" i="1"/>
  <c r="A893" i="1"/>
  <c r="F892" i="1"/>
  <c r="E892" i="1"/>
  <c r="D892" i="1"/>
  <c r="C892" i="1"/>
  <c r="B892" i="1"/>
  <c r="A892" i="1"/>
  <c r="F891" i="1"/>
  <c r="E891" i="1"/>
  <c r="D891" i="1"/>
  <c r="C891" i="1"/>
  <c r="B891" i="1"/>
  <c r="A891" i="1"/>
  <c r="F890" i="1"/>
  <c r="E890" i="1"/>
  <c r="D890" i="1"/>
  <c r="C890" i="1"/>
  <c r="B890" i="1"/>
  <c r="A890" i="1"/>
  <c r="F889" i="1"/>
  <c r="E889" i="1"/>
  <c r="D889" i="1"/>
  <c r="C889" i="1"/>
  <c r="B889" i="1"/>
  <c r="A889" i="1"/>
  <c r="F888" i="1"/>
  <c r="E888" i="1"/>
  <c r="D888" i="1"/>
  <c r="C888" i="1"/>
  <c r="B888" i="1"/>
  <c r="A888" i="1"/>
  <c r="F887" i="1"/>
  <c r="E887" i="1"/>
  <c r="D887" i="1"/>
  <c r="C887" i="1"/>
  <c r="B887" i="1"/>
  <c r="A887" i="1"/>
  <c r="F886" i="1"/>
  <c r="E886" i="1"/>
  <c r="D886" i="1"/>
  <c r="C886" i="1"/>
  <c r="B886" i="1"/>
  <c r="A886" i="1"/>
  <c r="F885" i="1"/>
  <c r="E885" i="1"/>
  <c r="D885" i="1"/>
  <c r="C885" i="1"/>
  <c r="B885" i="1"/>
  <c r="A885" i="1"/>
  <c r="F884" i="1"/>
  <c r="E884" i="1"/>
  <c r="D884" i="1"/>
  <c r="C884" i="1"/>
  <c r="B884" i="1"/>
  <c r="A884" i="1"/>
  <c r="F883" i="1"/>
  <c r="E883" i="1"/>
  <c r="D883" i="1"/>
  <c r="C883" i="1"/>
  <c r="B883" i="1"/>
  <c r="A883" i="1"/>
  <c r="F882" i="1"/>
  <c r="E882" i="1"/>
  <c r="D882" i="1"/>
  <c r="C882" i="1"/>
  <c r="B882" i="1"/>
  <c r="A882" i="1"/>
  <c r="F881" i="1"/>
  <c r="E881" i="1"/>
  <c r="D881" i="1"/>
  <c r="C881" i="1"/>
  <c r="B881" i="1"/>
  <c r="A881" i="1"/>
  <c r="F880" i="1"/>
  <c r="E880" i="1"/>
  <c r="D880" i="1"/>
  <c r="C880" i="1"/>
  <c r="B880" i="1"/>
  <c r="A880" i="1"/>
  <c r="F879" i="1"/>
  <c r="E879" i="1"/>
  <c r="D879" i="1"/>
  <c r="C879" i="1"/>
  <c r="B879" i="1"/>
  <c r="A879" i="1"/>
  <c r="F878" i="1"/>
  <c r="E878" i="1"/>
  <c r="D878" i="1"/>
  <c r="C878" i="1"/>
  <c r="B878" i="1"/>
  <c r="A878" i="1"/>
  <c r="F877" i="1"/>
  <c r="E877" i="1"/>
  <c r="D877" i="1"/>
  <c r="C877" i="1"/>
  <c r="B877" i="1"/>
  <c r="A877" i="1"/>
  <c r="F876" i="1"/>
  <c r="E876" i="1"/>
  <c r="D876" i="1"/>
  <c r="C876" i="1"/>
  <c r="B876" i="1"/>
  <c r="A876" i="1"/>
  <c r="F875" i="1"/>
  <c r="E875" i="1"/>
  <c r="D875" i="1"/>
  <c r="C875" i="1"/>
  <c r="B875" i="1"/>
  <c r="A875" i="1"/>
  <c r="F874" i="1"/>
  <c r="E874" i="1"/>
  <c r="D874" i="1"/>
  <c r="C874" i="1"/>
  <c r="B874" i="1"/>
  <c r="A874" i="1"/>
  <c r="F873" i="1"/>
  <c r="E873" i="1"/>
  <c r="D873" i="1"/>
  <c r="C873" i="1"/>
  <c r="B873" i="1"/>
  <c r="A873" i="1"/>
  <c r="F872" i="1"/>
  <c r="E872" i="1"/>
  <c r="D872" i="1"/>
  <c r="C872" i="1"/>
  <c r="B872" i="1"/>
  <c r="A872" i="1"/>
  <c r="F871" i="1"/>
  <c r="E871" i="1"/>
  <c r="D871" i="1"/>
  <c r="C871" i="1"/>
  <c r="B871" i="1"/>
  <c r="A871" i="1"/>
  <c r="F870" i="1"/>
  <c r="E870" i="1"/>
  <c r="D870" i="1"/>
  <c r="C870" i="1"/>
  <c r="B870" i="1"/>
  <c r="A870" i="1"/>
  <c r="F869" i="1"/>
  <c r="E869" i="1"/>
  <c r="D869" i="1"/>
  <c r="C869" i="1"/>
  <c r="B869" i="1"/>
  <c r="A869" i="1"/>
  <c r="F868" i="1"/>
  <c r="E868" i="1"/>
  <c r="D868" i="1"/>
  <c r="C868" i="1"/>
  <c r="B868" i="1"/>
  <c r="A868" i="1"/>
  <c r="F867" i="1"/>
  <c r="E867" i="1"/>
  <c r="D867" i="1"/>
  <c r="C867" i="1"/>
  <c r="B867" i="1"/>
  <c r="A867" i="1"/>
  <c r="F866" i="1"/>
  <c r="E866" i="1"/>
  <c r="D866" i="1"/>
  <c r="C866" i="1"/>
  <c r="B866" i="1"/>
  <c r="A866" i="1"/>
  <c r="F865" i="1"/>
  <c r="E865" i="1"/>
  <c r="D865" i="1"/>
  <c r="C865" i="1"/>
  <c r="B865" i="1"/>
  <c r="A865" i="1"/>
  <c r="F864" i="1"/>
  <c r="E864" i="1"/>
  <c r="D864" i="1"/>
  <c r="C864" i="1"/>
  <c r="B864" i="1"/>
  <c r="A864" i="1"/>
  <c r="F863" i="1"/>
  <c r="E863" i="1"/>
  <c r="D863" i="1"/>
  <c r="C863" i="1"/>
  <c r="B863" i="1"/>
  <c r="A863" i="1"/>
  <c r="F862" i="1"/>
  <c r="E862" i="1"/>
  <c r="D862" i="1"/>
  <c r="C862" i="1"/>
  <c r="B862" i="1"/>
  <c r="A862" i="1"/>
  <c r="F861" i="1"/>
  <c r="E861" i="1"/>
  <c r="D861" i="1"/>
  <c r="C861" i="1"/>
  <c r="B861" i="1"/>
  <c r="A861" i="1"/>
  <c r="F860" i="1"/>
  <c r="E860" i="1"/>
  <c r="D860" i="1"/>
  <c r="C860" i="1"/>
  <c r="B860" i="1"/>
  <c r="A860" i="1"/>
  <c r="F859" i="1"/>
  <c r="E859" i="1"/>
  <c r="D859" i="1"/>
  <c r="C859" i="1"/>
  <c r="B859" i="1"/>
  <c r="A859" i="1"/>
  <c r="F858" i="1"/>
  <c r="E858" i="1"/>
  <c r="D858" i="1"/>
  <c r="C858" i="1"/>
  <c r="B858" i="1"/>
  <c r="A858" i="1"/>
  <c r="F857" i="1"/>
  <c r="E857" i="1"/>
  <c r="D857" i="1"/>
  <c r="C857" i="1"/>
  <c r="B857" i="1"/>
  <c r="A857" i="1"/>
  <c r="F856" i="1"/>
  <c r="E856" i="1"/>
  <c r="D856" i="1"/>
  <c r="C856" i="1"/>
  <c r="B856" i="1"/>
  <c r="A856" i="1"/>
  <c r="F855" i="1"/>
  <c r="E855" i="1"/>
  <c r="D855" i="1"/>
  <c r="C855" i="1"/>
  <c r="B855" i="1"/>
  <c r="A855" i="1"/>
  <c r="F854" i="1"/>
  <c r="E854" i="1"/>
  <c r="D854" i="1"/>
  <c r="C854" i="1"/>
  <c r="B854" i="1"/>
  <c r="A854" i="1"/>
  <c r="F853" i="1"/>
  <c r="E853" i="1"/>
  <c r="D853" i="1"/>
  <c r="C853" i="1"/>
  <c r="B853" i="1"/>
  <c r="A853" i="1"/>
  <c r="F852" i="1"/>
  <c r="E852" i="1"/>
  <c r="D852" i="1"/>
  <c r="C852" i="1"/>
  <c r="B852" i="1"/>
  <c r="A852" i="1"/>
  <c r="F851" i="1"/>
  <c r="E851" i="1"/>
  <c r="D851" i="1"/>
  <c r="C851" i="1"/>
  <c r="B851" i="1"/>
  <c r="A851" i="1"/>
  <c r="F850" i="1"/>
  <c r="E850" i="1"/>
  <c r="D850" i="1"/>
  <c r="C850" i="1"/>
  <c r="B850" i="1"/>
  <c r="A850" i="1"/>
  <c r="F849" i="1"/>
  <c r="E849" i="1"/>
  <c r="D849" i="1"/>
  <c r="C849" i="1"/>
  <c r="B849" i="1"/>
  <c r="A849" i="1"/>
  <c r="F848" i="1"/>
  <c r="E848" i="1"/>
  <c r="D848" i="1"/>
  <c r="C848" i="1"/>
  <c r="B848" i="1"/>
  <c r="A848" i="1"/>
  <c r="F847" i="1"/>
  <c r="E847" i="1"/>
  <c r="D847" i="1"/>
  <c r="C847" i="1"/>
  <c r="B847" i="1"/>
  <c r="A847" i="1"/>
  <c r="F846" i="1"/>
  <c r="E846" i="1"/>
  <c r="D846" i="1"/>
  <c r="C846" i="1"/>
  <c r="B846" i="1"/>
  <c r="A846" i="1"/>
  <c r="F845" i="1"/>
  <c r="E845" i="1"/>
  <c r="D845" i="1"/>
  <c r="C845" i="1"/>
  <c r="B845" i="1"/>
  <c r="A845" i="1"/>
  <c r="F844" i="1"/>
  <c r="E844" i="1"/>
  <c r="D844" i="1"/>
  <c r="C844" i="1"/>
  <c r="B844" i="1"/>
  <c r="A844" i="1"/>
  <c r="F843" i="1"/>
  <c r="E843" i="1"/>
  <c r="D843" i="1"/>
  <c r="C843" i="1"/>
  <c r="B843" i="1"/>
  <c r="A843" i="1"/>
  <c r="F842" i="1"/>
  <c r="E842" i="1"/>
  <c r="D842" i="1"/>
  <c r="C842" i="1"/>
  <c r="B842" i="1"/>
  <c r="A842" i="1"/>
  <c r="F841" i="1"/>
  <c r="E841" i="1"/>
  <c r="D841" i="1"/>
  <c r="C841" i="1"/>
  <c r="B841" i="1"/>
  <c r="A841" i="1"/>
  <c r="F840" i="1"/>
  <c r="E840" i="1"/>
  <c r="D840" i="1"/>
  <c r="C840" i="1"/>
  <c r="B840" i="1"/>
  <c r="A840" i="1"/>
  <c r="F839" i="1"/>
  <c r="E839" i="1"/>
  <c r="D839" i="1"/>
  <c r="C839" i="1"/>
  <c r="B839" i="1"/>
  <c r="A839" i="1"/>
  <c r="F838" i="1"/>
  <c r="E838" i="1"/>
  <c r="D838" i="1"/>
  <c r="C838" i="1"/>
  <c r="B838" i="1"/>
  <c r="A838" i="1"/>
  <c r="F837" i="1"/>
  <c r="E837" i="1"/>
  <c r="D837" i="1"/>
  <c r="C837" i="1"/>
  <c r="B837" i="1"/>
  <c r="A837" i="1"/>
  <c r="F836" i="1"/>
  <c r="E836" i="1"/>
  <c r="D836" i="1"/>
  <c r="C836" i="1"/>
  <c r="B836" i="1"/>
  <c r="A836" i="1"/>
  <c r="F835" i="1"/>
  <c r="E835" i="1"/>
  <c r="D835" i="1"/>
  <c r="C835" i="1"/>
  <c r="B835" i="1"/>
  <c r="A835" i="1"/>
  <c r="F834" i="1"/>
  <c r="E834" i="1"/>
  <c r="D834" i="1"/>
  <c r="C834" i="1"/>
  <c r="B834" i="1"/>
  <c r="A834" i="1"/>
  <c r="F833" i="1"/>
  <c r="E833" i="1"/>
  <c r="D833" i="1"/>
  <c r="C833" i="1"/>
  <c r="B833" i="1"/>
  <c r="A833" i="1"/>
  <c r="F832" i="1"/>
  <c r="E832" i="1"/>
  <c r="D832" i="1"/>
  <c r="C832" i="1"/>
  <c r="B832" i="1"/>
  <c r="A832" i="1"/>
  <c r="F831" i="1"/>
  <c r="E831" i="1"/>
  <c r="D831" i="1"/>
  <c r="C831" i="1"/>
  <c r="B831" i="1"/>
  <c r="A831" i="1"/>
  <c r="F830" i="1"/>
  <c r="E830" i="1"/>
  <c r="D830" i="1"/>
  <c r="C830" i="1"/>
  <c r="B830" i="1"/>
  <c r="A830" i="1"/>
  <c r="F829" i="1"/>
  <c r="E829" i="1"/>
  <c r="D829" i="1"/>
  <c r="C829" i="1"/>
  <c r="B829" i="1"/>
  <c r="A829" i="1"/>
  <c r="F828" i="1"/>
  <c r="E828" i="1"/>
  <c r="D828" i="1"/>
  <c r="C828" i="1"/>
  <c r="B828" i="1"/>
  <c r="A828" i="1"/>
  <c r="F827" i="1"/>
  <c r="E827" i="1"/>
  <c r="D827" i="1"/>
  <c r="C827" i="1"/>
  <c r="B827" i="1"/>
  <c r="A827" i="1"/>
  <c r="F826" i="1"/>
  <c r="E826" i="1"/>
  <c r="D826" i="1"/>
  <c r="C826" i="1"/>
  <c r="B826" i="1"/>
  <c r="A826" i="1"/>
  <c r="F825" i="1"/>
  <c r="E825" i="1"/>
  <c r="D825" i="1"/>
  <c r="C825" i="1"/>
  <c r="B825" i="1"/>
  <c r="A825" i="1"/>
  <c r="F824" i="1"/>
  <c r="E824" i="1"/>
  <c r="D824" i="1"/>
  <c r="C824" i="1"/>
  <c r="B824" i="1"/>
  <c r="A824" i="1"/>
  <c r="F823" i="1"/>
  <c r="E823" i="1"/>
  <c r="D823" i="1"/>
  <c r="C823" i="1"/>
  <c r="B823" i="1"/>
  <c r="A823" i="1"/>
  <c r="F822" i="1"/>
  <c r="E822" i="1"/>
  <c r="D822" i="1"/>
  <c r="C822" i="1"/>
  <c r="B822" i="1"/>
  <c r="A822" i="1"/>
  <c r="F821" i="1"/>
  <c r="E821" i="1"/>
  <c r="D821" i="1"/>
  <c r="C821" i="1"/>
  <c r="B821" i="1"/>
  <c r="A821" i="1"/>
  <c r="F820" i="1"/>
  <c r="E820" i="1"/>
  <c r="D820" i="1"/>
  <c r="C820" i="1"/>
  <c r="B820" i="1"/>
  <c r="A820" i="1"/>
  <c r="F819" i="1"/>
  <c r="E819" i="1"/>
  <c r="D819" i="1"/>
  <c r="C819" i="1"/>
  <c r="B819" i="1"/>
  <c r="A819" i="1"/>
  <c r="F818" i="1"/>
  <c r="E818" i="1"/>
  <c r="D818" i="1"/>
  <c r="C818" i="1"/>
  <c r="B818" i="1"/>
  <c r="A818" i="1"/>
  <c r="F817" i="1"/>
  <c r="E817" i="1"/>
  <c r="D817" i="1"/>
  <c r="C817" i="1"/>
  <c r="B817" i="1"/>
  <c r="A817" i="1"/>
  <c r="F816" i="1"/>
  <c r="E816" i="1"/>
  <c r="D816" i="1"/>
  <c r="C816" i="1"/>
  <c r="B816" i="1"/>
  <c r="A816" i="1"/>
  <c r="F815" i="1"/>
  <c r="E815" i="1"/>
  <c r="D815" i="1"/>
  <c r="C815" i="1"/>
  <c r="B815" i="1"/>
  <c r="A815" i="1"/>
  <c r="F814" i="1"/>
  <c r="E814" i="1"/>
  <c r="D814" i="1"/>
  <c r="C814" i="1"/>
  <c r="B814" i="1"/>
  <c r="A814" i="1"/>
  <c r="F813" i="1"/>
  <c r="E813" i="1"/>
  <c r="D813" i="1"/>
  <c r="C813" i="1"/>
  <c r="B813" i="1"/>
  <c r="A813" i="1"/>
  <c r="F812" i="1"/>
  <c r="E812" i="1"/>
  <c r="D812" i="1"/>
  <c r="C812" i="1"/>
  <c r="B812" i="1"/>
  <c r="A812" i="1"/>
  <c r="F811" i="1"/>
  <c r="E811" i="1"/>
  <c r="D811" i="1"/>
  <c r="C811" i="1"/>
  <c r="B811" i="1"/>
  <c r="A811" i="1"/>
  <c r="F810" i="1"/>
  <c r="E810" i="1"/>
  <c r="D810" i="1"/>
  <c r="C810" i="1"/>
  <c r="B810" i="1"/>
  <c r="A810" i="1"/>
  <c r="F809" i="1"/>
  <c r="E809" i="1"/>
  <c r="D809" i="1"/>
  <c r="C809" i="1"/>
  <c r="B809" i="1"/>
  <c r="A809" i="1"/>
  <c r="F808" i="1"/>
  <c r="E808" i="1"/>
  <c r="D808" i="1"/>
  <c r="C808" i="1"/>
  <c r="B808" i="1"/>
  <c r="A808" i="1"/>
  <c r="F807" i="1"/>
  <c r="E807" i="1"/>
  <c r="D807" i="1"/>
  <c r="C807" i="1"/>
  <c r="B807" i="1"/>
  <c r="A807" i="1"/>
  <c r="F806" i="1"/>
  <c r="E806" i="1"/>
  <c r="D806" i="1"/>
  <c r="C806" i="1"/>
  <c r="B806" i="1"/>
  <c r="A806" i="1"/>
  <c r="F805" i="1"/>
  <c r="E805" i="1"/>
  <c r="D805" i="1"/>
  <c r="C805" i="1"/>
  <c r="B805" i="1"/>
  <c r="A805" i="1"/>
  <c r="F804" i="1"/>
  <c r="E804" i="1"/>
  <c r="D804" i="1"/>
  <c r="C804" i="1"/>
  <c r="B804" i="1"/>
  <c r="A804" i="1"/>
  <c r="F803" i="1"/>
  <c r="E803" i="1"/>
  <c r="D803" i="1"/>
  <c r="C803" i="1"/>
  <c r="B803" i="1"/>
  <c r="A803" i="1"/>
  <c r="F802" i="1"/>
  <c r="E802" i="1"/>
  <c r="D802" i="1"/>
  <c r="C802" i="1"/>
  <c r="B802" i="1"/>
  <c r="A802" i="1"/>
  <c r="F801" i="1"/>
  <c r="E801" i="1"/>
  <c r="D801" i="1"/>
  <c r="C801" i="1"/>
  <c r="B801" i="1"/>
  <c r="A801" i="1"/>
  <c r="F800" i="1"/>
  <c r="E800" i="1"/>
  <c r="D800" i="1"/>
  <c r="C800" i="1"/>
  <c r="B800" i="1"/>
  <c r="A800" i="1"/>
  <c r="F799" i="1"/>
  <c r="E799" i="1"/>
  <c r="D799" i="1"/>
  <c r="C799" i="1"/>
  <c r="B799" i="1"/>
  <c r="A799" i="1"/>
  <c r="F798" i="1"/>
  <c r="E798" i="1"/>
  <c r="D798" i="1"/>
  <c r="C798" i="1"/>
  <c r="B798" i="1"/>
  <c r="A798" i="1"/>
  <c r="F797" i="1"/>
  <c r="E797" i="1"/>
  <c r="D797" i="1"/>
  <c r="C797" i="1"/>
  <c r="B797" i="1"/>
  <c r="A797" i="1"/>
  <c r="F796" i="1"/>
  <c r="E796" i="1"/>
  <c r="D796" i="1"/>
  <c r="C796" i="1"/>
  <c r="B796" i="1"/>
  <c r="A796" i="1"/>
  <c r="F795" i="1"/>
  <c r="E795" i="1"/>
  <c r="D795" i="1"/>
  <c r="C795" i="1"/>
  <c r="B795" i="1"/>
  <c r="A795" i="1"/>
  <c r="F794" i="1"/>
  <c r="E794" i="1"/>
  <c r="D794" i="1"/>
  <c r="C794" i="1"/>
  <c r="B794" i="1"/>
  <c r="A794" i="1"/>
  <c r="F793" i="1"/>
  <c r="E793" i="1"/>
  <c r="D793" i="1"/>
  <c r="C793" i="1"/>
  <c r="B793" i="1"/>
  <c r="A793" i="1"/>
  <c r="F792" i="1"/>
  <c r="E792" i="1"/>
  <c r="D792" i="1"/>
  <c r="C792" i="1"/>
  <c r="B792" i="1"/>
  <c r="A792" i="1"/>
  <c r="F791" i="1"/>
  <c r="E791" i="1"/>
  <c r="D791" i="1"/>
  <c r="C791" i="1"/>
  <c r="B791" i="1"/>
  <c r="A791" i="1"/>
  <c r="F790" i="1"/>
  <c r="E790" i="1"/>
  <c r="D790" i="1"/>
  <c r="C790" i="1"/>
  <c r="B790" i="1"/>
  <c r="A790" i="1"/>
  <c r="F789" i="1"/>
  <c r="E789" i="1"/>
  <c r="D789" i="1"/>
  <c r="C789" i="1"/>
  <c r="B789" i="1"/>
  <c r="A789" i="1"/>
  <c r="F788" i="1"/>
  <c r="E788" i="1"/>
  <c r="D788" i="1"/>
  <c r="C788" i="1"/>
  <c r="B788" i="1"/>
  <c r="A788" i="1"/>
  <c r="F787" i="1"/>
  <c r="E787" i="1"/>
  <c r="D787" i="1"/>
  <c r="C787" i="1"/>
  <c r="B787" i="1"/>
  <c r="A787" i="1"/>
  <c r="F786" i="1"/>
  <c r="E786" i="1"/>
  <c r="D786" i="1"/>
  <c r="C786" i="1"/>
  <c r="B786" i="1"/>
  <c r="A786" i="1"/>
  <c r="F785" i="1"/>
  <c r="E785" i="1"/>
  <c r="D785" i="1"/>
  <c r="C785" i="1"/>
  <c r="B785" i="1"/>
  <c r="A785" i="1"/>
  <c r="F784" i="1"/>
  <c r="E784" i="1"/>
  <c r="D784" i="1"/>
  <c r="C784" i="1"/>
  <c r="B784" i="1"/>
  <c r="A784" i="1"/>
  <c r="F783" i="1"/>
  <c r="E783" i="1"/>
  <c r="D783" i="1"/>
  <c r="C783" i="1"/>
  <c r="B783" i="1"/>
  <c r="A783" i="1"/>
  <c r="F782" i="1"/>
  <c r="E782" i="1"/>
  <c r="D782" i="1"/>
  <c r="C782" i="1"/>
  <c r="B782" i="1"/>
  <c r="A782" i="1"/>
  <c r="F781" i="1"/>
  <c r="E781" i="1"/>
  <c r="D781" i="1"/>
  <c r="C781" i="1"/>
  <c r="B781" i="1"/>
  <c r="A781" i="1"/>
  <c r="F780" i="1"/>
  <c r="E780" i="1"/>
  <c r="D780" i="1"/>
  <c r="C780" i="1"/>
  <c r="B780" i="1"/>
  <c r="A780" i="1"/>
  <c r="F779" i="1"/>
  <c r="E779" i="1"/>
  <c r="D779" i="1"/>
  <c r="C779" i="1"/>
  <c r="B779" i="1"/>
  <c r="A779" i="1"/>
  <c r="F778" i="1"/>
  <c r="E778" i="1"/>
  <c r="D778" i="1"/>
  <c r="C778" i="1"/>
  <c r="B778" i="1"/>
  <c r="A778" i="1"/>
  <c r="F777" i="1"/>
  <c r="E777" i="1"/>
  <c r="D777" i="1"/>
  <c r="C777" i="1"/>
  <c r="B777" i="1"/>
  <c r="A777" i="1"/>
  <c r="F776" i="1"/>
  <c r="E776" i="1"/>
  <c r="D776" i="1"/>
  <c r="C776" i="1"/>
  <c r="B776" i="1"/>
  <c r="A776" i="1"/>
  <c r="F775" i="1"/>
  <c r="E775" i="1"/>
  <c r="D775" i="1"/>
  <c r="C775" i="1"/>
  <c r="B775" i="1"/>
  <c r="A775" i="1"/>
  <c r="F774" i="1"/>
  <c r="E774" i="1"/>
  <c r="D774" i="1"/>
  <c r="C774" i="1"/>
  <c r="B774" i="1"/>
  <c r="A774" i="1"/>
  <c r="F773" i="1"/>
  <c r="E773" i="1"/>
  <c r="D773" i="1"/>
  <c r="C773" i="1"/>
  <c r="B773" i="1"/>
  <c r="A773" i="1"/>
  <c r="F772" i="1"/>
  <c r="E772" i="1"/>
  <c r="D772" i="1"/>
  <c r="C772" i="1"/>
  <c r="B772" i="1"/>
  <c r="A772" i="1"/>
  <c r="F771" i="1"/>
  <c r="E771" i="1"/>
  <c r="D771" i="1"/>
  <c r="C771" i="1"/>
  <c r="B771" i="1"/>
  <c r="A771" i="1"/>
  <c r="F770" i="1"/>
  <c r="E770" i="1"/>
  <c r="D770" i="1"/>
  <c r="C770" i="1"/>
  <c r="B770" i="1"/>
  <c r="A770" i="1"/>
  <c r="F769" i="1"/>
  <c r="E769" i="1"/>
  <c r="D769" i="1"/>
  <c r="C769" i="1"/>
  <c r="B769" i="1"/>
  <c r="A769" i="1"/>
  <c r="F768" i="1"/>
  <c r="E768" i="1"/>
  <c r="D768" i="1"/>
  <c r="C768" i="1"/>
  <c r="B768" i="1"/>
  <c r="A768" i="1"/>
  <c r="F767" i="1"/>
  <c r="E767" i="1"/>
  <c r="D767" i="1"/>
  <c r="C767" i="1"/>
  <c r="B767" i="1"/>
  <c r="A767" i="1"/>
  <c r="F766" i="1"/>
  <c r="E766" i="1"/>
  <c r="D766" i="1"/>
  <c r="C766" i="1"/>
  <c r="B766" i="1"/>
  <c r="A766" i="1"/>
  <c r="F765" i="1"/>
  <c r="E765" i="1"/>
  <c r="D765" i="1"/>
  <c r="C765" i="1"/>
  <c r="B765" i="1"/>
  <c r="A765" i="1"/>
  <c r="F764" i="1"/>
  <c r="E764" i="1"/>
  <c r="D764" i="1"/>
  <c r="C764" i="1"/>
  <c r="B764" i="1"/>
  <c r="A764" i="1"/>
  <c r="F763" i="1"/>
  <c r="E763" i="1"/>
  <c r="D763" i="1"/>
  <c r="C763" i="1"/>
  <c r="B763" i="1"/>
  <c r="A763" i="1"/>
  <c r="F762" i="1"/>
  <c r="E762" i="1"/>
  <c r="D762" i="1"/>
  <c r="C762" i="1"/>
  <c r="B762" i="1"/>
  <c r="A762" i="1"/>
  <c r="F761" i="1"/>
  <c r="E761" i="1"/>
  <c r="D761" i="1"/>
  <c r="C761" i="1"/>
  <c r="B761" i="1"/>
  <c r="A761" i="1"/>
  <c r="F760" i="1"/>
  <c r="E760" i="1"/>
  <c r="D760" i="1"/>
  <c r="C760" i="1"/>
  <c r="B760" i="1"/>
  <c r="A760" i="1"/>
  <c r="F759" i="1"/>
  <c r="E759" i="1"/>
  <c r="D759" i="1"/>
  <c r="C759" i="1"/>
  <c r="B759" i="1"/>
  <c r="A759" i="1"/>
  <c r="F758" i="1"/>
  <c r="E758" i="1"/>
  <c r="D758" i="1"/>
  <c r="C758" i="1"/>
  <c r="B758" i="1"/>
  <c r="A758" i="1"/>
  <c r="F757" i="1"/>
  <c r="E757" i="1"/>
  <c r="D757" i="1"/>
  <c r="C757" i="1"/>
  <c r="B757" i="1"/>
  <c r="A757" i="1"/>
  <c r="F756" i="1"/>
  <c r="E756" i="1"/>
  <c r="D756" i="1"/>
  <c r="C756" i="1"/>
  <c r="B756" i="1"/>
  <c r="A756" i="1"/>
  <c r="F755" i="1"/>
  <c r="E755" i="1"/>
  <c r="D755" i="1"/>
  <c r="C755" i="1"/>
  <c r="B755" i="1"/>
  <c r="A755" i="1"/>
  <c r="F754" i="1"/>
  <c r="E754" i="1"/>
  <c r="D754" i="1"/>
  <c r="C754" i="1"/>
  <c r="B754" i="1"/>
  <c r="A754" i="1"/>
  <c r="F753" i="1"/>
  <c r="E753" i="1"/>
  <c r="D753" i="1"/>
  <c r="C753" i="1"/>
  <c r="B753" i="1"/>
  <c r="A753" i="1"/>
  <c r="F752" i="1"/>
  <c r="E752" i="1"/>
  <c r="D752" i="1"/>
  <c r="C752" i="1"/>
  <c r="B752" i="1"/>
  <c r="A752" i="1"/>
  <c r="F751" i="1"/>
  <c r="E751" i="1"/>
  <c r="D751" i="1"/>
  <c r="C751" i="1"/>
  <c r="B751" i="1"/>
  <c r="A751" i="1"/>
  <c r="F750" i="1"/>
  <c r="E750" i="1"/>
  <c r="D750" i="1"/>
  <c r="C750" i="1"/>
  <c r="B750" i="1"/>
  <c r="A750" i="1"/>
  <c r="F749" i="1"/>
  <c r="E749" i="1"/>
  <c r="D749" i="1"/>
  <c r="C749" i="1"/>
  <c r="B749" i="1"/>
  <c r="A749" i="1"/>
  <c r="F748" i="1"/>
  <c r="E748" i="1"/>
  <c r="D748" i="1"/>
  <c r="C748" i="1"/>
  <c r="B748" i="1"/>
  <c r="A748" i="1"/>
  <c r="F747" i="1"/>
  <c r="E747" i="1"/>
  <c r="D747" i="1"/>
  <c r="C747" i="1"/>
  <c r="B747" i="1"/>
  <c r="A747" i="1"/>
  <c r="F746" i="1"/>
  <c r="E746" i="1"/>
  <c r="D746" i="1"/>
  <c r="C746" i="1"/>
  <c r="B746" i="1"/>
  <c r="A746" i="1"/>
  <c r="F745" i="1"/>
  <c r="E745" i="1"/>
  <c r="D745" i="1"/>
  <c r="C745" i="1"/>
  <c r="B745" i="1"/>
  <c r="A745" i="1"/>
  <c r="F744" i="1"/>
  <c r="E744" i="1"/>
  <c r="D744" i="1"/>
  <c r="C744" i="1"/>
  <c r="B744" i="1"/>
  <c r="A744" i="1"/>
  <c r="F743" i="1"/>
  <c r="E743" i="1"/>
  <c r="D743" i="1"/>
  <c r="C743" i="1"/>
  <c r="B743" i="1"/>
  <c r="A743" i="1"/>
  <c r="F742" i="1"/>
  <c r="E742" i="1"/>
  <c r="D742" i="1"/>
  <c r="C742" i="1"/>
  <c r="B742" i="1"/>
  <c r="A742" i="1"/>
  <c r="F741" i="1"/>
  <c r="E741" i="1"/>
  <c r="D741" i="1"/>
  <c r="C741" i="1"/>
  <c r="B741" i="1"/>
  <c r="A741" i="1"/>
  <c r="F740" i="1"/>
  <c r="E740" i="1"/>
  <c r="D740" i="1"/>
  <c r="C740" i="1"/>
  <c r="B740" i="1"/>
  <c r="A740" i="1"/>
  <c r="F739" i="1"/>
  <c r="E739" i="1"/>
  <c r="D739" i="1"/>
  <c r="C739" i="1"/>
  <c r="B739" i="1"/>
  <c r="A739" i="1"/>
  <c r="F738" i="1"/>
  <c r="E738" i="1"/>
  <c r="D738" i="1"/>
  <c r="C738" i="1"/>
  <c r="B738" i="1"/>
  <c r="A738" i="1"/>
  <c r="F737" i="1"/>
  <c r="E737" i="1"/>
  <c r="D737" i="1"/>
  <c r="C737" i="1"/>
  <c r="B737" i="1"/>
  <c r="A737" i="1"/>
  <c r="F736" i="1"/>
  <c r="E736" i="1"/>
  <c r="D736" i="1"/>
  <c r="C736" i="1"/>
  <c r="B736" i="1"/>
  <c r="A736" i="1"/>
  <c r="F735" i="1"/>
  <c r="E735" i="1"/>
  <c r="D735" i="1"/>
  <c r="C735" i="1"/>
  <c r="B735" i="1"/>
  <c r="A735" i="1"/>
  <c r="F734" i="1"/>
  <c r="E734" i="1"/>
  <c r="D734" i="1"/>
  <c r="C734" i="1"/>
  <c r="B734" i="1"/>
  <c r="A734" i="1"/>
  <c r="F733" i="1"/>
  <c r="E733" i="1"/>
  <c r="D733" i="1"/>
  <c r="C733" i="1"/>
  <c r="B733" i="1"/>
  <c r="A733" i="1"/>
  <c r="F732" i="1"/>
  <c r="E732" i="1"/>
  <c r="D732" i="1"/>
  <c r="C732" i="1"/>
  <c r="B732" i="1"/>
  <c r="A732" i="1"/>
  <c r="F731" i="1"/>
  <c r="E731" i="1"/>
  <c r="D731" i="1"/>
  <c r="C731" i="1"/>
  <c r="B731" i="1"/>
  <c r="A731" i="1"/>
  <c r="F730" i="1"/>
  <c r="E730" i="1"/>
  <c r="D730" i="1"/>
  <c r="C730" i="1"/>
  <c r="B730" i="1"/>
  <c r="A730" i="1"/>
  <c r="F729" i="1"/>
  <c r="E729" i="1"/>
  <c r="D729" i="1"/>
  <c r="C729" i="1"/>
  <c r="B729" i="1"/>
  <c r="A729" i="1"/>
  <c r="F728" i="1"/>
  <c r="E728" i="1"/>
  <c r="D728" i="1"/>
  <c r="C728" i="1"/>
  <c r="B728" i="1"/>
  <c r="A728" i="1"/>
  <c r="F727" i="1"/>
  <c r="E727" i="1"/>
  <c r="D727" i="1"/>
  <c r="C727" i="1"/>
  <c r="B727" i="1"/>
  <c r="A727" i="1"/>
  <c r="F726" i="1"/>
  <c r="E726" i="1"/>
  <c r="D726" i="1"/>
  <c r="C726" i="1"/>
  <c r="B726" i="1"/>
  <c r="A726" i="1"/>
  <c r="F725" i="1"/>
  <c r="E725" i="1"/>
  <c r="D725" i="1"/>
  <c r="C725" i="1"/>
  <c r="B725" i="1"/>
  <c r="A725" i="1"/>
  <c r="F724" i="1"/>
  <c r="E724" i="1"/>
  <c r="D724" i="1"/>
  <c r="C724" i="1"/>
  <c r="B724" i="1"/>
  <c r="A724" i="1"/>
  <c r="F723" i="1"/>
  <c r="E723" i="1"/>
  <c r="D723" i="1"/>
  <c r="C723" i="1"/>
  <c r="B723" i="1"/>
  <c r="A723" i="1"/>
  <c r="F722" i="1"/>
  <c r="E722" i="1"/>
  <c r="D722" i="1"/>
  <c r="C722" i="1"/>
  <c r="B722" i="1"/>
  <c r="A722" i="1"/>
  <c r="F721" i="1"/>
  <c r="E721" i="1"/>
  <c r="D721" i="1"/>
  <c r="C721" i="1"/>
  <c r="B721" i="1"/>
  <c r="A721" i="1"/>
  <c r="F720" i="1"/>
  <c r="E720" i="1"/>
  <c r="D720" i="1"/>
  <c r="C720" i="1"/>
  <c r="B720" i="1"/>
  <c r="A720" i="1"/>
  <c r="F719" i="1"/>
  <c r="E719" i="1"/>
  <c r="D719" i="1"/>
  <c r="C719" i="1"/>
  <c r="B719" i="1"/>
  <c r="A719" i="1"/>
  <c r="F718" i="1"/>
  <c r="E718" i="1"/>
  <c r="D718" i="1"/>
  <c r="C718" i="1"/>
  <c r="B718" i="1"/>
  <c r="A718" i="1"/>
  <c r="F717" i="1"/>
  <c r="E717" i="1"/>
  <c r="D717" i="1"/>
  <c r="C717" i="1"/>
  <c r="B717" i="1"/>
  <c r="A717" i="1"/>
  <c r="F716" i="1"/>
  <c r="E716" i="1"/>
  <c r="D716" i="1"/>
  <c r="C716" i="1"/>
  <c r="B716" i="1"/>
  <c r="A716" i="1"/>
  <c r="F715" i="1"/>
  <c r="E715" i="1"/>
  <c r="D715" i="1"/>
  <c r="C715" i="1"/>
  <c r="B715" i="1"/>
  <c r="A715" i="1"/>
  <c r="F714" i="1"/>
  <c r="E714" i="1"/>
  <c r="D714" i="1"/>
  <c r="C714" i="1"/>
  <c r="B714" i="1"/>
  <c r="A714" i="1"/>
  <c r="F713" i="1"/>
  <c r="E713" i="1"/>
  <c r="D713" i="1"/>
  <c r="C713" i="1"/>
  <c r="B713" i="1"/>
  <c r="A713" i="1"/>
  <c r="F712" i="1"/>
  <c r="E712" i="1"/>
  <c r="D712" i="1"/>
  <c r="C712" i="1"/>
  <c r="B712" i="1"/>
  <c r="A712" i="1"/>
  <c r="F711" i="1"/>
  <c r="E711" i="1"/>
  <c r="D711" i="1"/>
  <c r="C711" i="1"/>
  <c r="B711" i="1"/>
  <c r="A711" i="1"/>
  <c r="F710" i="1"/>
  <c r="E710" i="1"/>
  <c r="D710" i="1"/>
  <c r="C710" i="1"/>
  <c r="B710" i="1"/>
  <c r="A710" i="1"/>
  <c r="F709" i="1"/>
  <c r="E709" i="1"/>
  <c r="D709" i="1"/>
  <c r="C709" i="1"/>
  <c r="B709" i="1"/>
  <c r="A709" i="1"/>
  <c r="F708" i="1"/>
  <c r="E708" i="1"/>
  <c r="D708" i="1"/>
  <c r="C708" i="1"/>
  <c r="B708" i="1"/>
  <c r="A708" i="1"/>
  <c r="F707" i="1"/>
  <c r="E707" i="1"/>
  <c r="D707" i="1"/>
  <c r="C707" i="1"/>
  <c r="B707" i="1"/>
  <c r="A707" i="1"/>
  <c r="F706" i="1"/>
  <c r="E706" i="1"/>
  <c r="D706" i="1"/>
  <c r="C706" i="1"/>
  <c r="B706" i="1"/>
  <c r="A706" i="1"/>
  <c r="F705" i="1"/>
  <c r="E705" i="1"/>
  <c r="D705" i="1"/>
  <c r="C705" i="1"/>
  <c r="B705" i="1"/>
  <c r="A705" i="1"/>
  <c r="F704" i="1"/>
  <c r="E704" i="1"/>
  <c r="D704" i="1"/>
  <c r="C704" i="1"/>
  <c r="B704" i="1"/>
  <c r="A704" i="1"/>
  <c r="F703" i="1"/>
  <c r="E703" i="1"/>
  <c r="D703" i="1"/>
  <c r="C703" i="1"/>
  <c r="B703" i="1"/>
  <c r="A703" i="1"/>
  <c r="F702" i="1"/>
  <c r="E702" i="1"/>
  <c r="D702" i="1"/>
  <c r="C702" i="1"/>
  <c r="B702" i="1"/>
  <c r="A702" i="1"/>
  <c r="F701" i="1"/>
  <c r="E701" i="1"/>
  <c r="D701" i="1"/>
  <c r="C701" i="1"/>
  <c r="B701" i="1"/>
  <c r="A701" i="1"/>
  <c r="F700" i="1"/>
  <c r="E700" i="1"/>
  <c r="D700" i="1"/>
  <c r="C700" i="1"/>
  <c r="B700" i="1"/>
  <c r="A700" i="1"/>
  <c r="F699" i="1"/>
  <c r="E699" i="1"/>
  <c r="D699" i="1"/>
  <c r="C699" i="1"/>
  <c r="B699" i="1"/>
  <c r="A699" i="1"/>
  <c r="F698" i="1"/>
  <c r="E698" i="1"/>
  <c r="D698" i="1"/>
  <c r="C698" i="1"/>
  <c r="B698" i="1"/>
  <c r="A698" i="1"/>
  <c r="F697" i="1"/>
  <c r="E697" i="1"/>
  <c r="D697" i="1"/>
  <c r="C697" i="1"/>
  <c r="B697" i="1"/>
  <c r="A697" i="1"/>
  <c r="F696" i="1"/>
  <c r="E696" i="1"/>
  <c r="D696" i="1"/>
  <c r="C696" i="1"/>
  <c r="B696" i="1"/>
  <c r="A696" i="1"/>
  <c r="F695" i="1"/>
  <c r="E695" i="1"/>
  <c r="D695" i="1"/>
  <c r="C695" i="1"/>
  <c r="B695" i="1"/>
  <c r="A695" i="1"/>
  <c r="F694" i="1"/>
  <c r="E694" i="1"/>
  <c r="D694" i="1"/>
  <c r="C694" i="1"/>
  <c r="B694" i="1"/>
  <c r="A694" i="1"/>
  <c r="F693" i="1"/>
  <c r="E693" i="1"/>
  <c r="D693" i="1"/>
  <c r="C693" i="1"/>
  <c r="B693" i="1"/>
  <c r="A693" i="1"/>
  <c r="F692" i="1"/>
  <c r="E692" i="1"/>
  <c r="D692" i="1"/>
  <c r="C692" i="1"/>
  <c r="B692" i="1"/>
  <c r="A692" i="1"/>
  <c r="F691" i="1"/>
  <c r="E691" i="1"/>
  <c r="D691" i="1"/>
  <c r="C691" i="1"/>
  <c r="B691" i="1"/>
  <c r="A691" i="1"/>
  <c r="F690" i="1"/>
  <c r="E690" i="1"/>
  <c r="D690" i="1"/>
  <c r="C690" i="1"/>
  <c r="B690" i="1"/>
  <c r="A690" i="1"/>
  <c r="F689" i="1"/>
  <c r="E689" i="1"/>
  <c r="D689" i="1"/>
  <c r="C689" i="1"/>
  <c r="B689" i="1"/>
  <c r="A689" i="1"/>
  <c r="F688" i="1"/>
  <c r="E688" i="1"/>
  <c r="D688" i="1"/>
  <c r="C688" i="1"/>
  <c r="B688" i="1"/>
  <c r="A688" i="1"/>
  <c r="F687" i="1"/>
  <c r="E687" i="1"/>
  <c r="D687" i="1"/>
  <c r="C687" i="1"/>
  <c r="B687" i="1"/>
  <c r="A687" i="1"/>
  <c r="F686" i="1"/>
  <c r="E686" i="1"/>
  <c r="D686" i="1"/>
  <c r="C686" i="1"/>
  <c r="B686" i="1"/>
  <c r="A686" i="1"/>
  <c r="F685" i="1"/>
  <c r="E685" i="1"/>
  <c r="D685" i="1"/>
  <c r="C685" i="1"/>
  <c r="B685" i="1"/>
  <c r="A685" i="1"/>
  <c r="F684" i="1"/>
  <c r="E684" i="1"/>
  <c r="D684" i="1"/>
  <c r="C684" i="1"/>
  <c r="B684" i="1"/>
  <c r="A684" i="1"/>
  <c r="F683" i="1"/>
  <c r="E683" i="1"/>
  <c r="D683" i="1"/>
  <c r="C683" i="1"/>
  <c r="B683" i="1"/>
  <c r="A683" i="1"/>
  <c r="F682" i="1"/>
  <c r="E682" i="1"/>
  <c r="D682" i="1"/>
  <c r="C682" i="1"/>
  <c r="B682" i="1"/>
  <c r="A682" i="1"/>
  <c r="F681" i="1"/>
  <c r="E681" i="1"/>
  <c r="D681" i="1"/>
  <c r="C681" i="1"/>
  <c r="B681" i="1"/>
  <c r="A681" i="1"/>
  <c r="F680" i="1"/>
  <c r="E680" i="1"/>
  <c r="D680" i="1"/>
  <c r="C680" i="1"/>
  <c r="B680" i="1"/>
  <c r="A680" i="1"/>
  <c r="F679" i="1"/>
  <c r="E679" i="1"/>
  <c r="D679" i="1"/>
  <c r="C679" i="1"/>
  <c r="B679" i="1"/>
  <c r="A679" i="1"/>
  <c r="F678" i="1"/>
  <c r="E678" i="1"/>
  <c r="D678" i="1"/>
  <c r="C678" i="1"/>
  <c r="B678" i="1"/>
  <c r="A678" i="1"/>
  <c r="F677" i="1"/>
  <c r="E677" i="1"/>
  <c r="D677" i="1"/>
  <c r="C677" i="1"/>
  <c r="B677" i="1"/>
  <c r="A677" i="1"/>
  <c r="F676" i="1"/>
  <c r="E676" i="1"/>
  <c r="D676" i="1"/>
  <c r="C676" i="1"/>
  <c r="B676" i="1"/>
  <c r="A676" i="1"/>
  <c r="F675" i="1"/>
  <c r="E675" i="1"/>
  <c r="D675" i="1"/>
  <c r="C675" i="1"/>
  <c r="B675" i="1"/>
  <c r="A675" i="1"/>
  <c r="F674" i="1"/>
  <c r="E674" i="1"/>
  <c r="D674" i="1"/>
  <c r="C674" i="1"/>
  <c r="B674" i="1"/>
  <c r="A674" i="1"/>
  <c r="F673" i="1"/>
  <c r="E673" i="1"/>
  <c r="D673" i="1"/>
  <c r="C673" i="1"/>
  <c r="B673" i="1"/>
  <c r="A673" i="1"/>
  <c r="F672" i="1"/>
  <c r="E672" i="1"/>
  <c r="D672" i="1"/>
  <c r="C672" i="1"/>
  <c r="B672" i="1"/>
  <c r="A672" i="1"/>
  <c r="F671" i="1"/>
  <c r="E671" i="1"/>
  <c r="D671" i="1"/>
  <c r="C671" i="1"/>
  <c r="B671" i="1"/>
  <c r="A671" i="1"/>
  <c r="F670" i="1"/>
  <c r="E670" i="1"/>
  <c r="D670" i="1"/>
  <c r="C670" i="1"/>
  <c r="B670" i="1"/>
  <c r="A670" i="1"/>
  <c r="F669" i="1"/>
  <c r="E669" i="1"/>
  <c r="D669" i="1"/>
  <c r="C669" i="1"/>
  <c r="B669" i="1"/>
  <c r="A669" i="1"/>
  <c r="F668" i="1"/>
  <c r="E668" i="1"/>
  <c r="D668" i="1"/>
  <c r="C668" i="1"/>
  <c r="B668" i="1"/>
  <c r="A668" i="1"/>
  <c r="F667" i="1"/>
  <c r="E667" i="1"/>
  <c r="D667" i="1"/>
  <c r="C667" i="1"/>
  <c r="B667" i="1"/>
  <c r="A667" i="1"/>
  <c r="F666" i="1"/>
  <c r="E666" i="1"/>
  <c r="D666" i="1"/>
  <c r="C666" i="1"/>
  <c r="B666" i="1"/>
  <c r="A666" i="1"/>
  <c r="F665" i="1"/>
  <c r="E665" i="1"/>
  <c r="D665" i="1"/>
  <c r="C665" i="1"/>
  <c r="B665" i="1"/>
  <c r="A665" i="1"/>
  <c r="F664" i="1"/>
  <c r="E664" i="1"/>
  <c r="D664" i="1"/>
  <c r="C664" i="1"/>
  <c r="B664" i="1"/>
  <c r="A664" i="1"/>
  <c r="F663" i="1"/>
  <c r="E663" i="1"/>
  <c r="D663" i="1"/>
  <c r="C663" i="1"/>
  <c r="B663" i="1"/>
  <c r="A663" i="1"/>
  <c r="F662" i="1"/>
  <c r="E662" i="1"/>
  <c r="D662" i="1"/>
  <c r="C662" i="1"/>
  <c r="B662" i="1"/>
  <c r="A662" i="1"/>
  <c r="F661" i="1"/>
  <c r="E661" i="1"/>
  <c r="D661" i="1"/>
  <c r="C661" i="1"/>
  <c r="B661" i="1"/>
  <c r="A661" i="1"/>
  <c r="F660" i="1"/>
  <c r="E660" i="1"/>
  <c r="D660" i="1"/>
  <c r="C660" i="1"/>
  <c r="B660" i="1"/>
  <c r="A660" i="1"/>
  <c r="F659" i="1"/>
  <c r="E659" i="1"/>
  <c r="D659" i="1"/>
  <c r="C659" i="1"/>
  <c r="B659" i="1"/>
  <c r="A659" i="1"/>
  <c r="F658" i="1"/>
  <c r="E658" i="1"/>
  <c r="D658" i="1"/>
  <c r="C658" i="1"/>
  <c r="B658" i="1"/>
  <c r="A658" i="1"/>
  <c r="F657" i="1"/>
  <c r="E657" i="1"/>
  <c r="D657" i="1"/>
  <c r="C657" i="1"/>
  <c r="B657" i="1"/>
  <c r="A657" i="1"/>
  <c r="F656" i="1"/>
  <c r="E656" i="1"/>
  <c r="D656" i="1"/>
  <c r="C656" i="1"/>
  <c r="B656" i="1"/>
  <c r="A656" i="1"/>
  <c r="F655" i="1"/>
  <c r="E655" i="1"/>
  <c r="D655" i="1"/>
  <c r="C655" i="1"/>
  <c r="B655" i="1"/>
  <c r="A655" i="1"/>
  <c r="F654" i="1"/>
  <c r="E654" i="1"/>
  <c r="D654" i="1"/>
  <c r="C654" i="1"/>
  <c r="B654" i="1"/>
  <c r="A654" i="1"/>
  <c r="F653" i="1"/>
  <c r="E653" i="1"/>
  <c r="D653" i="1"/>
  <c r="C653" i="1"/>
  <c r="B653" i="1"/>
  <c r="A653" i="1"/>
  <c r="F652" i="1"/>
  <c r="E652" i="1"/>
  <c r="D652" i="1"/>
  <c r="C652" i="1"/>
  <c r="B652" i="1"/>
  <c r="A652" i="1"/>
  <c r="F651" i="1"/>
  <c r="E651" i="1"/>
  <c r="D651" i="1"/>
  <c r="C651" i="1"/>
  <c r="B651" i="1"/>
  <c r="A651" i="1"/>
  <c r="F650" i="1"/>
  <c r="E650" i="1"/>
  <c r="D650" i="1"/>
  <c r="C650" i="1"/>
  <c r="B650" i="1"/>
  <c r="A650" i="1"/>
  <c r="F649" i="1"/>
  <c r="E649" i="1"/>
  <c r="D649" i="1"/>
  <c r="C649" i="1"/>
  <c r="B649" i="1"/>
  <c r="A649" i="1"/>
  <c r="F648" i="1"/>
  <c r="E648" i="1"/>
  <c r="D648" i="1"/>
  <c r="C648" i="1"/>
  <c r="B648" i="1"/>
  <c r="A648" i="1"/>
  <c r="F647" i="1"/>
  <c r="E647" i="1"/>
  <c r="D647" i="1"/>
  <c r="C647" i="1"/>
  <c r="B647" i="1"/>
  <c r="A647" i="1"/>
  <c r="F646" i="1"/>
  <c r="E646" i="1"/>
  <c r="D646" i="1"/>
  <c r="C646" i="1"/>
  <c r="B646" i="1"/>
  <c r="A646" i="1"/>
  <c r="F645" i="1"/>
  <c r="E645" i="1"/>
  <c r="D645" i="1"/>
  <c r="C645" i="1"/>
  <c r="B645" i="1"/>
  <c r="A645" i="1"/>
  <c r="F644" i="1"/>
  <c r="E644" i="1"/>
  <c r="D644" i="1"/>
  <c r="C644" i="1"/>
  <c r="B644" i="1"/>
  <c r="A644" i="1"/>
  <c r="F643" i="1"/>
  <c r="E643" i="1"/>
  <c r="D643" i="1"/>
  <c r="C643" i="1"/>
  <c r="B643" i="1"/>
  <c r="A643" i="1"/>
  <c r="F642" i="1"/>
  <c r="E642" i="1"/>
  <c r="D642" i="1"/>
  <c r="C642" i="1"/>
  <c r="B642" i="1"/>
  <c r="A642" i="1"/>
  <c r="F641" i="1"/>
  <c r="E641" i="1"/>
  <c r="D641" i="1"/>
  <c r="C641" i="1"/>
  <c r="B641" i="1"/>
  <c r="A641" i="1"/>
  <c r="F640" i="1"/>
  <c r="E640" i="1"/>
  <c r="D640" i="1"/>
  <c r="C640" i="1"/>
  <c r="B640" i="1"/>
  <c r="A640" i="1"/>
  <c r="F639" i="1"/>
  <c r="E639" i="1"/>
  <c r="D639" i="1"/>
  <c r="C639" i="1"/>
  <c r="B639" i="1"/>
  <c r="A639" i="1"/>
  <c r="F638" i="1"/>
  <c r="E638" i="1"/>
  <c r="D638" i="1"/>
  <c r="C638" i="1"/>
  <c r="B638" i="1"/>
  <c r="A638" i="1"/>
  <c r="F637" i="1"/>
  <c r="E637" i="1"/>
  <c r="D637" i="1"/>
  <c r="C637" i="1"/>
  <c r="B637" i="1"/>
  <c r="A637" i="1"/>
  <c r="F636" i="1"/>
  <c r="E636" i="1"/>
  <c r="D636" i="1"/>
  <c r="C636" i="1"/>
  <c r="B636" i="1"/>
  <c r="A636" i="1"/>
  <c r="F635" i="1"/>
  <c r="E635" i="1"/>
  <c r="D635" i="1"/>
  <c r="C635" i="1"/>
  <c r="B635" i="1"/>
  <c r="A635" i="1"/>
  <c r="F634" i="1"/>
  <c r="E634" i="1"/>
  <c r="D634" i="1"/>
  <c r="C634" i="1"/>
  <c r="B634" i="1"/>
  <c r="A634" i="1"/>
  <c r="F633" i="1"/>
  <c r="E633" i="1"/>
  <c r="D633" i="1"/>
  <c r="C633" i="1"/>
  <c r="B633" i="1"/>
  <c r="A633" i="1"/>
  <c r="F632" i="1"/>
  <c r="E632" i="1"/>
  <c r="D632" i="1"/>
  <c r="C632" i="1"/>
  <c r="B632" i="1"/>
  <c r="A632" i="1"/>
  <c r="F631" i="1"/>
  <c r="E631" i="1"/>
  <c r="D631" i="1"/>
  <c r="C631" i="1"/>
  <c r="B631" i="1"/>
  <c r="A631" i="1"/>
  <c r="F630" i="1"/>
  <c r="E630" i="1"/>
  <c r="D630" i="1"/>
  <c r="C630" i="1"/>
  <c r="B630" i="1"/>
  <c r="A630" i="1"/>
  <c r="F629" i="1"/>
  <c r="E629" i="1"/>
  <c r="D629" i="1"/>
  <c r="C629" i="1"/>
  <c r="B629" i="1"/>
  <c r="A629" i="1"/>
  <c r="F628" i="1"/>
  <c r="E628" i="1"/>
  <c r="D628" i="1"/>
  <c r="C628" i="1"/>
  <c r="B628" i="1"/>
  <c r="A628" i="1"/>
  <c r="F627" i="1"/>
  <c r="E627" i="1"/>
  <c r="D627" i="1"/>
  <c r="C627" i="1"/>
  <c r="B627" i="1"/>
  <c r="A627" i="1"/>
  <c r="F626" i="1"/>
  <c r="E626" i="1"/>
  <c r="D626" i="1"/>
  <c r="C626" i="1"/>
  <c r="B626" i="1"/>
  <c r="A626" i="1"/>
  <c r="F625" i="1"/>
  <c r="E625" i="1"/>
  <c r="D625" i="1"/>
  <c r="C625" i="1"/>
  <c r="B625" i="1"/>
  <c r="A625" i="1"/>
  <c r="F624" i="1"/>
  <c r="E624" i="1"/>
  <c r="D624" i="1"/>
  <c r="C624" i="1"/>
  <c r="B624" i="1"/>
  <c r="A624" i="1"/>
  <c r="F623" i="1"/>
  <c r="E623" i="1"/>
  <c r="D623" i="1"/>
  <c r="C623" i="1"/>
  <c r="B623" i="1"/>
  <c r="A623" i="1"/>
  <c r="F622" i="1"/>
  <c r="E622" i="1"/>
  <c r="D622" i="1"/>
  <c r="C622" i="1"/>
  <c r="B622" i="1"/>
  <c r="A622" i="1"/>
  <c r="F621" i="1"/>
  <c r="E621" i="1"/>
  <c r="D621" i="1"/>
  <c r="C621" i="1"/>
  <c r="B621" i="1"/>
  <c r="A621" i="1"/>
  <c r="F620" i="1"/>
  <c r="E620" i="1"/>
  <c r="D620" i="1"/>
  <c r="C620" i="1"/>
  <c r="B620" i="1"/>
  <c r="A620" i="1"/>
  <c r="F619" i="1"/>
  <c r="E619" i="1"/>
  <c r="D619" i="1"/>
  <c r="C619" i="1"/>
  <c r="B619" i="1"/>
  <c r="A619" i="1"/>
  <c r="F618" i="1"/>
  <c r="E618" i="1"/>
  <c r="D618" i="1"/>
  <c r="C618" i="1"/>
  <c r="B618" i="1"/>
  <c r="A618" i="1"/>
  <c r="F617" i="1"/>
  <c r="E617" i="1"/>
  <c r="D617" i="1"/>
  <c r="C617" i="1"/>
  <c r="B617" i="1"/>
  <c r="A617" i="1"/>
  <c r="F616" i="1"/>
  <c r="E616" i="1"/>
  <c r="D616" i="1"/>
  <c r="C616" i="1"/>
  <c r="B616" i="1"/>
  <c r="A616" i="1"/>
  <c r="F615" i="1"/>
  <c r="E615" i="1"/>
  <c r="D615" i="1"/>
  <c r="C615" i="1"/>
  <c r="B615" i="1"/>
  <c r="A615" i="1"/>
  <c r="F614" i="1"/>
  <c r="E614" i="1"/>
  <c r="D614" i="1"/>
  <c r="C614" i="1"/>
  <c r="B614" i="1"/>
  <c r="A614" i="1"/>
  <c r="F613" i="1"/>
  <c r="E613" i="1"/>
  <c r="D613" i="1"/>
  <c r="C613" i="1"/>
  <c r="B613" i="1"/>
  <c r="A613" i="1"/>
  <c r="F612" i="1"/>
  <c r="E612" i="1"/>
  <c r="D612" i="1"/>
  <c r="C612" i="1"/>
  <c r="B612" i="1"/>
  <c r="A612" i="1"/>
  <c r="F611" i="1"/>
  <c r="E611" i="1"/>
  <c r="D611" i="1"/>
  <c r="C611" i="1"/>
  <c r="B611" i="1"/>
  <c r="A611" i="1"/>
  <c r="F610" i="1"/>
  <c r="E610" i="1"/>
  <c r="D610" i="1"/>
  <c r="C610" i="1"/>
  <c r="B610" i="1"/>
  <c r="A610" i="1"/>
  <c r="F609" i="1"/>
  <c r="E609" i="1"/>
  <c r="D609" i="1"/>
  <c r="C609" i="1"/>
  <c r="B609" i="1"/>
  <c r="A609" i="1"/>
  <c r="F608" i="1"/>
  <c r="E608" i="1"/>
  <c r="D608" i="1"/>
  <c r="C608" i="1"/>
  <c r="B608" i="1"/>
  <c r="A608" i="1"/>
  <c r="F607" i="1"/>
  <c r="E607" i="1"/>
  <c r="D607" i="1"/>
  <c r="C607" i="1"/>
  <c r="B607" i="1"/>
  <c r="A607" i="1"/>
  <c r="F606" i="1"/>
  <c r="E606" i="1"/>
  <c r="D606" i="1"/>
  <c r="C606" i="1"/>
  <c r="B606" i="1"/>
  <c r="A606" i="1"/>
  <c r="F605" i="1"/>
  <c r="E605" i="1"/>
  <c r="D605" i="1"/>
  <c r="C605" i="1"/>
  <c r="B605" i="1"/>
  <c r="A605" i="1"/>
  <c r="F604" i="1"/>
  <c r="E604" i="1"/>
  <c r="D604" i="1"/>
  <c r="C604" i="1"/>
  <c r="B604" i="1"/>
  <c r="A604" i="1"/>
  <c r="F603" i="1"/>
  <c r="E603" i="1"/>
  <c r="D603" i="1"/>
  <c r="C603" i="1"/>
  <c r="B603" i="1"/>
  <c r="A603" i="1"/>
  <c r="F602" i="1"/>
  <c r="E602" i="1"/>
  <c r="D602" i="1"/>
  <c r="C602" i="1"/>
  <c r="B602" i="1"/>
  <c r="A602" i="1"/>
  <c r="F601" i="1"/>
  <c r="E601" i="1"/>
  <c r="D601" i="1"/>
  <c r="C601" i="1"/>
  <c r="B601" i="1"/>
  <c r="A601" i="1"/>
  <c r="F600" i="1"/>
  <c r="E600" i="1"/>
  <c r="D600" i="1"/>
  <c r="C600" i="1"/>
  <c r="B600" i="1"/>
  <c r="A600" i="1"/>
  <c r="F599" i="1"/>
  <c r="E599" i="1"/>
  <c r="D599" i="1"/>
  <c r="C599" i="1"/>
  <c r="B599" i="1"/>
  <c r="A599" i="1"/>
  <c r="F598" i="1"/>
  <c r="E598" i="1"/>
  <c r="D598" i="1"/>
  <c r="C598" i="1"/>
  <c r="B598" i="1"/>
  <c r="A598" i="1"/>
  <c r="F597" i="1"/>
  <c r="E597" i="1"/>
  <c r="D597" i="1"/>
  <c r="C597" i="1"/>
  <c r="B597" i="1"/>
  <c r="A597" i="1"/>
  <c r="F596" i="1"/>
  <c r="E596" i="1"/>
  <c r="D596" i="1"/>
  <c r="C596" i="1"/>
  <c r="B596" i="1"/>
  <c r="A596" i="1"/>
  <c r="F595" i="1"/>
  <c r="E595" i="1"/>
  <c r="D595" i="1"/>
  <c r="C595" i="1"/>
  <c r="B595" i="1"/>
  <c r="A595" i="1"/>
  <c r="F594" i="1"/>
  <c r="E594" i="1"/>
  <c r="D594" i="1"/>
  <c r="C594" i="1"/>
  <c r="B594" i="1"/>
  <c r="A594" i="1"/>
  <c r="F593" i="1"/>
  <c r="E593" i="1"/>
  <c r="D593" i="1"/>
  <c r="C593" i="1"/>
  <c r="B593" i="1"/>
  <c r="A593" i="1"/>
  <c r="F592" i="1"/>
  <c r="E592" i="1"/>
  <c r="D592" i="1"/>
  <c r="C592" i="1"/>
  <c r="B592" i="1"/>
  <c r="A592" i="1"/>
  <c r="F591" i="1"/>
  <c r="E591" i="1"/>
  <c r="D591" i="1"/>
  <c r="C591" i="1"/>
  <c r="B591" i="1"/>
  <c r="A591" i="1"/>
  <c r="F590" i="1"/>
  <c r="E590" i="1"/>
  <c r="D590" i="1"/>
  <c r="C590" i="1"/>
  <c r="B590" i="1"/>
  <c r="A590" i="1"/>
  <c r="F589" i="1"/>
  <c r="E589" i="1"/>
  <c r="D589" i="1"/>
  <c r="C589" i="1"/>
  <c r="B589" i="1"/>
  <c r="A589" i="1"/>
  <c r="F588" i="1"/>
  <c r="E588" i="1"/>
  <c r="D588" i="1"/>
  <c r="C588" i="1"/>
  <c r="B588" i="1"/>
  <c r="A588" i="1"/>
  <c r="F587" i="1"/>
  <c r="E587" i="1"/>
  <c r="D587" i="1"/>
  <c r="C587" i="1"/>
  <c r="B587" i="1"/>
  <c r="A587" i="1"/>
  <c r="F586" i="1"/>
  <c r="E586" i="1"/>
  <c r="D586" i="1"/>
  <c r="C586" i="1"/>
  <c r="B586" i="1"/>
  <c r="A586" i="1"/>
  <c r="F585" i="1"/>
  <c r="E585" i="1"/>
  <c r="D585" i="1"/>
  <c r="C585" i="1"/>
  <c r="B585" i="1"/>
  <c r="A585" i="1"/>
  <c r="F584" i="1"/>
  <c r="E584" i="1"/>
  <c r="D584" i="1"/>
  <c r="C584" i="1"/>
  <c r="B584" i="1"/>
  <c r="A584" i="1"/>
  <c r="F583" i="1"/>
  <c r="E583" i="1"/>
  <c r="D583" i="1"/>
  <c r="C583" i="1"/>
  <c r="B583" i="1"/>
  <c r="A583" i="1"/>
  <c r="F582" i="1"/>
  <c r="E582" i="1"/>
  <c r="D582" i="1"/>
  <c r="C582" i="1"/>
  <c r="B582" i="1"/>
  <c r="A582" i="1"/>
  <c r="F581" i="1"/>
  <c r="E581" i="1"/>
  <c r="D581" i="1"/>
  <c r="C581" i="1"/>
  <c r="B581" i="1"/>
  <c r="A581" i="1"/>
  <c r="F580" i="1"/>
  <c r="E580" i="1"/>
  <c r="D580" i="1"/>
  <c r="C580" i="1"/>
  <c r="B580" i="1"/>
  <c r="A580" i="1"/>
  <c r="F579" i="1"/>
  <c r="E579" i="1"/>
  <c r="D579" i="1"/>
  <c r="C579" i="1"/>
  <c r="B579" i="1"/>
  <c r="A579" i="1"/>
  <c r="F578" i="1"/>
  <c r="E578" i="1"/>
  <c r="D578" i="1"/>
  <c r="C578" i="1"/>
  <c r="B578" i="1"/>
  <c r="A578" i="1"/>
  <c r="F577" i="1"/>
  <c r="E577" i="1"/>
  <c r="D577" i="1"/>
  <c r="C577" i="1"/>
  <c r="B577" i="1"/>
  <c r="A577" i="1"/>
  <c r="F576" i="1"/>
  <c r="E576" i="1"/>
  <c r="D576" i="1"/>
  <c r="C576" i="1"/>
  <c r="B576" i="1"/>
  <c r="A576" i="1"/>
  <c r="F575" i="1"/>
  <c r="E575" i="1"/>
  <c r="D575" i="1"/>
  <c r="C575" i="1"/>
  <c r="B575" i="1"/>
  <c r="A575" i="1"/>
  <c r="F574" i="1"/>
  <c r="E574" i="1"/>
  <c r="D574" i="1"/>
  <c r="C574" i="1"/>
  <c r="B574" i="1"/>
  <c r="A574" i="1"/>
  <c r="F573" i="1"/>
  <c r="E573" i="1"/>
  <c r="D573" i="1"/>
  <c r="C573" i="1"/>
  <c r="B573" i="1"/>
  <c r="A573" i="1"/>
  <c r="F572" i="1"/>
  <c r="E572" i="1"/>
  <c r="D572" i="1"/>
  <c r="C572" i="1"/>
  <c r="B572" i="1"/>
  <c r="A572" i="1"/>
  <c r="F571" i="1"/>
  <c r="E571" i="1"/>
  <c r="D571" i="1"/>
  <c r="C571" i="1"/>
  <c r="B571" i="1"/>
  <c r="A571" i="1"/>
  <c r="F570" i="1"/>
  <c r="E570" i="1"/>
  <c r="D570" i="1"/>
  <c r="C570" i="1"/>
  <c r="B570" i="1"/>
  <c r="A570" i="1"/>
  <c r="F569" i="1"/>
  <c r="E569" i="1"/>
  <c r="D569" i="1"/>
  <c r="C569" i="1"/>
  <c r="B569" i="1"/>
  <c r="A569" i="1"/>
  <c r="F568" i="1"/>
  <c r="E568" i="1"/>
  <c r="D568" i="1"/>
  <c r="C568" i="1"/>
  <c r="B568" i="1"/>
  <c r="A568" i="1"/>
  <c r="F567" i="1"/>
  <c r="E567" i="1"/>
  <c r="D567" i="1"/>
  <c r="C567" i="1"/>
  <c r="B567" i="1"/>
  <c r="A567" i="1"/>
  <c r="F566" i="1"/>
  <c r="E566" i="1"/>
  <c r="D566" i="1"/>
  <c r="C566" i="1"/>
  <c r="B566" i="1"/>
  <c r="A566" i="1"/>
  <c r="F565" i="1"/>
  <c r="E565" i="1"/>
  <c r="D565" i="1"/>
  <c r="C565" i="1"/>
  <c r="B565" i="1"/>
  <c r="A565" i="1"/>
  <c r="F564" i="1"/>
  <c r="E564" i="1"/>
  <c r="D564" i="1"/>
  <c r="C564" i="1"/>
  <c r="B564" i="1"/>
  <c r="A564" i="1"/>
  <c r="F563" i="1"/>
  <c r="E563" i="1"/>
  <c r="D563" i="1"/>
  <c r="C563" i="1"/>
  <c r="B563" i="1"/>
  <c r="A563" i="1"/>
  <c r="F562" i="1"/>
  <c r="E562" i="1"/>
  <c r="D562" i="1"/>
  <c r="C562" i="1"/>
  <c r="B562" i="1"/>
  <c r="A562" i="1"/>
  <c r="F561" i="1"/>
  <c r="E561" i="1"/>
  <c r="D561" i="1"/>
  <c r="C561" i="1"/>
  <c r="B561" i="1"/>
  <c r="A561" i="1"/>
  <c r="F560" i="1"/>
  <c r="E560" i="1"/>
  <c r="D560" i="1"/>
  <c r="C560" i="1"/>
  <c r="B560" i="1"/>
  <c r="A560" i="1"/>
  <c r="F559" i="1"/>
  <c r="E559" i="1"/>
  <c r="D559" i="1"/>
  <c r="C559" i="1"/>
  <c r="B559" i="1"/>
  <c r="A559" i="1"/>
  <c r="F558" i="1"/>
  <c r="E558" i="1"/>
  <c r="D558" i="1"/>
  <c r="C558" i="1"/>
  <c r="B558" i="1"/>
  <c r="A558" i="1"/>
  <c r="F557" i="1"/>
  <c r="E557" i="1"/>
  <c r="D557" i="1"/>
  <c r="C557" i="1"/>
  <c r="B557" i="1"/>
  <c r="A557" i="1"/>
  <c r="F556" i="1"/>
  <c r="E556" i="1"/>
  <c r="D556" i="1"/>
  <c r="C556" i="1"/>
  <c r="B556" i="1"/>
  <c r="A556" i="1"/>
  <c r="F555" i="1"/>
  <c r="E555" i="1"/>
  <c r="D555" i="1"/>
  <c r="C555" i="1"/>
  <c r="B555" i="1"/>
  <c r="A555" i="1"/>
  <c r="F554" i="1"/>
  <c r="E554" i="1"/>
  <c r="D554" i="1"/>
  <c r="C554" i="1"/>
  <c r="B554" i="1"/>
  <c r="A554" i="1"/>
  <c r="F553" i="1"/>
  <c r="E553" i="1"/>
  <c r="D553" i="1"/>
  <c r="C553" i="1"/>
  <c r="B553" i="1"/>
  <c r="A553" i="1"/>
  <c r="F552" i="1"/>
  <c r="E552" i="1"/>
  <c r="D552" i="1"/>
  <c r="C552" i="1"/>
  <c r="B552" i="1"/>
  <c r="A552" i="1"/>
  <c r="F551" i="1"/>
  <c r="E551" i="1"/>
  <c r="D551" i="1"/>
  <c r="C551" i="1"/>
  <c r="B551" i="1"/>
  <c r="A551" i="1"/>
  <c r="F550" i="1"/>
  <c r="E550" i="1"/>
  <c r="D550" i="1"/>
  <c r="C550" i="1"/>
  <c r="B550" i="1"/>
  <c r="A550" i="1"/>
  <c r="F549" i="1"/>
  <c r="E549" i="1"/>
  <c r="D549" i="1"/>
  <c r="C549" i="1"/>
  <c r="B549" i="1"/>
  <c r="A549" i="1"/>
  <c r="F548" i="1"/>
  <c r="E548" i="1"/>
  <c r="D548" i="1"/>
  <c r="C548" i="1"/>
  <c r="B548" i="1"/>
  <c r="A548" i="1"/>
  <c r="F547" i="1"/>
  <c r="E547" i="1"/>
  <c r="D547" i="1"/>
  <c r="C547" i="1"/>
  <c r="B547" i="1"/>
  <c r="A547" i="1"/>
  <c r="F546" i="1"/>
  <c r="E546" i="1"/>
  <c r="D546" i="1"/>
  <c r="C546" i="1"/>
  <c r="B546" i="1"/>
  <c r="A546" i="1"/>
  <c r="F545" i="1"/>
  <c r="E545" i="1"/>
  <c r="D545" i="1"/>
  <c r="C545" i="1"/>
  <c r="B545" i="1"/>
  <c r="A545" i="1"/>
  <c r="F544" i="1"/>
  <c r="E544" i="1"/>
  <c r="D544" i="1"/>
  <c r="C544" i="1"/>
  <c r="B544" i="1"/>
  <c r="A544" i="1"/>
  <c r="F543" i="1"/>
  <c r="E543" i="1"/>
  <c r="D543" i="1"/>
  <c r="C543" i="1"/>
  <c r="B543" i="1"/>
  <c r="A543" i="1"/>
  <c r="F542" i="1"/>
  <c r="E542" i="1"/>
  <c r="D542" i="1"/>
  <c r="C542" i="1"/>
  <c r="B542" i="1"/>
  <c r="A542" i="1"/>
  <c r="F541" i="1"/>
  <c r="E541" i="1"/>
  <c r="D541" i="1"/>
  <c r="C541" i="1"/>
  <c r="B541" i="1"/>
  <c r="A541" i="1"/>
  <c r="F540" i="1"/>
  <c r="E540" i="1"/>
  <c r="D540" i="1"/>
  <c r="C540" i="1"/>
  <c r="B540" i="1"/>
  <c r="A540" i="1"/>
  <c r="F539" i="1"/>
  <c r="E539" i="1"/>
  <c r="D539" i="1"/>
  <c r="C539" i="1"/>
  <c r="B539" i="1"/>
  <c r="A539" i="1"/>
  <c r="F538" i="1"/>
  <c r="E538" i="1"/>
  <c r="D538" i="1"/>
  <c r="C538" i="1"/>
  <c r="B538" i="1"/>
  <c r="A538" i="1"/>
  <c r="F537" i="1"/>
  <c r="E537" i="1"/>
  <c r="D537" i="1"/>
  <c r="C537" i="1"/>
  <c r="B537" i="1"/>
  <c r="A537" i="1"/>
  <c r="F536" i="1"/>
  <c r="E536" i="1"/>
  <c r="D536" i="1"/>
  <c r="C536" i="1"/>
  <c r="B536" i="1"/>
  <c r="A536" i="1"/>
  <c r="F535" i="1"/>
  <c r="E535" i="1"/>
  <c r="D535" i="1"/>
  <c r="C535" i="1"/>
  <c r="B535" i="1"/>
  <c r="A535" i="1"/>
  <c r="F534" i="1"/>
  <c r="E534" i="1"/>
  <c r="D534" i="1"/>
  <c r="C534" i="1"/>
  <c r="B534" i="1"/>
  <c r="A534" i="1"/>
  <c r="F533" i="1"/>
  <c r="E533" i="1"/>
  <c r="D533" i="1"/>
  <c r="C533" i="1"/>
  <c r="B533" i="1"/>
  <c r="A533" i="1"/>
  <c r="F532" i="1"/>
  <c r="E532" i="1"/>
  <c r="D532" i="1"/>
  <c r="C532" i="1"/>
  <c r="B532" i="1"/>
  <c r="A532" i="1"/>
  <c r="F531" i="1"/>
  <c r="E531" i="1"/>
  <c r="D531" i="1"/>
  <c r="C531" i="1"/>
  <c r="B531" i="1"/>
  <c r="A531" i="1"/>
  <c r="F530" i="1"/>
  <c r="E530" i="1"/>
  <c r="D530" i="1"/>
  <c r="C530" i="1"/>
  <c r="B530" i="1"/>
  <c r="A530" i="1"/>
  <c r="F529" i="1"/>
  <c r="E529" i="1"/>
  <c r="D529" i="1"/>
  <c r="C529" i="1"/>
  <c r="B529" i="1"/>
  <c r="A529" i="1"/>
  <c r="F528" i="1"/>
  <c r="E528" i="1"/>
  <c r="D528" i="1"/>
  <c r="C528" i="1"/>
  <c r="B528" i="1"/>
  <c r="A528" i="1"/>
  <c r="F527" i="1"/>
  <c r="E527" i="1"/>
  <c r="D527" i="1"/>
  <c r="C527" i="1"/>
  <c r="B527" i="1"/>
  <c r="A527" i="1"/>
  <c r="F526" i="1"/>
  <c r="E526" i="1"/>
  <c r="D526" i="1"/>
  <c r="C526" i="1"/>
  <c r="B526" i="1"/>
  <c r="A526" i="1"/>
  <c r="F525" i="1"/>
  <c r="E525" i="1"/>
  <c r="D525" i="1"/>
  <c r="C525" i="1"/>
  <c r="B525" i="1"/>
  <c r="A525" i="1"/>
  <c r="F524" i="1"/>
  <c r="E524" i="1"/>
  <c r="D524" i="1"/>
  <c r="C524" i="1"/>
  <c r="B524" i="1"/>
  <c r="A524" i="1"/>
  <c r="F523" i="1"/>
  <c r="E523" i="1"/>
  <c r="D523" i="1"/>
  <c r="C523" i="1"/>
  <c r="B523" i="1"/>
  <c r="A523" i="1"/>
  <c r="F522" i="1"/>
  <c r="E522" i="1"/>
  <c r="D522" i="1"/>
  <c r="C522" i="1"/>
  <c r="B522" i="1"/>
  <c r="A522" i="1"/>
  <c r="F521" i="1"/>
  <c r="E521" i="1"/>
  <c r="D521" i="1"/>
  <c r="C521" i="1"/>
  <c r="B521" i="1"/>
  <c r="A521" i="1"/>
  <c r="F520" i="1"/>
  <c r="E520" i="1"/>
  <c r="D520" i="1"/>
  <c r="C520" i="1"/>
  <c r="B520" i="1"/>
  <c r="A520" i="1"/>
  <c r="F519" i="1"/>
  <c r="E519" i="1"/>
  <c r="D519" i="1"/>
  <c r="C519" i="1"/>
  <c r="B519" i="1"/>
  <c r="A519" i="1"/>
  <c r="F518" i="1"/>
  <c r="E518" i="1"/>
  <c r="D518" i="1"/>
  <c r="C518" i="1"/>
  <c r="B518" i="1"/>
  <c r="A518" i="1"/>
  <c r="F517" i="1"/>
  <c r="E517" i="1"/>
  <c r="D517" i="1"/>
  <c r="C517" i="1"/>
  <c r="B517" i="1"/>
  <c r="A517" i="1"/>
  <c r="F516" i="1"/>
  <c r="E516" i="1"/>
  <c r="D516" i="1"/>
  <c r="C516" i="1"/>
  <c r="B516" i="1"/>
  <c r="A516" i="1"/>
  <c r="F515" i="1"/>
  <c r="E515" i="1"/>
  <c r="D515" i="1"/>
  <c r="C515" i="1"/>
  <c r="B515" i="1"/>
  <c r="A515" i="1"/>
  <c r="F514" i="1"/>
  <c r="E514" i="1"/>
  <c r="D514" i="1"/>
  <c r="C514" i="1"/>
  <c r="B514" i="1"/>
  <c r="A514" i="1"/>
  <c r="F513" i="1"/>
  <c r="E513" i="1"/>
  <c r="D513" i="1"/>
  <c r="C513" i="1"/>
  <c r="B513" i="1"/>
  <c r="A513" i="1"/>
  <c r="F512" i="1"/>
  <c r="E512" i="1"/>
  <c r="D512" i="1"/>
  <c r="C512" i="1"/>
  <c r="B512" i="1"/>
  <c r="A512" i="1"/>
  <c r="F511" i="1"/>
  <c r="E511" i="1"/>
  <c r="D511" i="1"/>
  <c r="C511" i="1"/>
  <c r="B511" i="1"/>
  <c r="A511" i="1"/>
  <c r="F510" i="1"/>
  <c r="E510" i="1"/>
  <c r="D510" i="1"/>
  <c r="C510" i="1"/>
  <c r="B510" i="1"/>
  <c r="A510" i="1"/>
  <c r="F509" i="1"/>
  <c r="E509" i="1"/>
  <c r="D509" i="1"/>
  <c r="C509" i="1"/>
  <c r="B509" i="1"/>
  <c r="A509" i="1"/>
  <c r="F508" i="1"/>
  <c r="E508" i="1"/>
  <c r="D508" i="1"/>
  <c r="C508" i="1"/>
  <c r="B508" i="1"/>
  <c r="A508" i="1"/>
  <c r="F507" i="1"/>
  <c r="E507" i="1"/>
  <c r="D507" i="1"/>
  <c r="C507" i="1"/>
  <c r="B507" i="1"/>
  <c r="A507" i="1"/>
  <c r="F506" i="1"/>
  <c r="E506" i="1"/>
  <c r="D506" i="1"/>
  <c r="C506" i="1"/>
  <c r="B506" i="1"/>
  <c r="A506" i="1"/>
  <c r="F505" i="1"/>
  <c r="E505" i="1"/>
  <c r="D505" i="1"/>
  <c r="C505" i="1"/>
  <c r="B505" i="1"/>
  <c r="A505" i="1"/>
  <c r="F504" i="1"/>
  <c r="E504" i="1"/>
  <c r="D504" i="1"/>
  <c r="C504" i="1"/>
  <c r="B504" i="1"/>
  <c r="A504" i="1"/>
  <c r="F503" i="1"/>
  <c r="E503" i="1"/>
  <c r="D503" i="1"/>
  <c r="C503" i="1"/>
  <c r="B503" i="1"/>
  <c r="A503" i="1"/>
  <c r="F502" i="1"/>
  <c r="E502" i="1"/>
  <c r="D502" i="1"/>
  <c r="C502" i="1"/>
  <c r="B502" i="1"/>
  <c r="A502" i="1"/>
  <c r="F501" i="1"/>
  <c r="E501" i="1"/>
  <c r="D501" i="1"/>
  <c r="C501" i="1"/>
  <c r="B501" i="1"/>
  <c r="A501" i="1"/>
  <c r="F500" i="1"/>
  <c r="E500" i="1"/>
  <c r="D500" i="1"/>
  <c r="C500" i="1"/>
  <c r="B500" i="1"/>
  <c r="A500" i="1"/>
  <c r="F499" i="1"/>
  <c r="E499" i="1"/>
  <c r="D499" i="1"/>
  <c r="C499" i="1"/>
  <c r="B499" i="1"/>
  <c r="A499" i="1"/>
  <c r="F498" i="1"/>
  <c r="E498" i="1"/>
  <c r="D498" i="1"/>
  <c r="C498" i="1"/>
  <c r="B498" i="1"/>
  <c r="A498" i="1"/>
  <c r="F497" i="1"/>
  <c r="E497" i="1"/>
  <c r="D497" i="1"/>
  <c r="C497" i="1"/>
  <c r="B497" i="1"/>
  <c r="A497" i="1"/>
  <c r="F496" i="1"/>
  <c r="E496" i="1"/>
  <c r="D496" i="1"/>
  <c r="C496" i="1"/>
  <c r="B496" i="1"/>
  <c r="A496" i="1"/>
  <c r="F495" i="1"/>
  <c r="E495" i="1"/>
  <c r="D495" i="1"/>
  <c r="C495" i="1"/>
  <c r="B495" i="1"/>
  <c r="A495" i="1"/>
  <c r="F494" i="1"/>
  <c r="E494" i="1"/>
  <c r="D494" i="1"/>
  <c r="C494" i="1"/>
  <c r="B494" i="1"/>
  <c r="A494" i="1"/>
  <c r="F493" i="1"/>
  <c r="E493" i="1"/>
  <c r="D493" i="1"/>
  <c r="C493" i="1"/>
  <c r="B493" i="1"/>
  <c r="A493" i="1"/>
  <c r="F492" i="1"/>
  <c r="E492" i="1"/>
  <c r="D492" i="1"/>
  <c r="C492" i="1"/>
  <c r="B492" i="1"/>
  <c r="A492" i="1"/>
  <c r="F491" i="1"/>
  <c r="E491" i="1"/>
  <c r="D491" i="1"/>
  <c r="C491" i="1"/>
  <c r="B491" i="1"/>
  <c r="A491" i="1"/>
  <c r="F490" i="1"/>
  <c r="E490" i="1"/>
  <c r="D490" i="1"/>
  <c r="C490" i="1"/>
  <c r="B490" i="1"/>
  <c r="A490" i="1"/>
  <c r="F489" i="1"/>
  <c r="E489" i="1"/>
  <c r="D489" i="1"/>
  <c r="C489" i="1"/>
  <c r="B489" i="1"/>
  <c r="A489" i="1"/>
  <c r="F488" i="1"/>
  <c r="E488" i="1"/>
  <c r="D488" i="1"/>
  <c r="C488" i="1"/>
  <c r="B488" i="1"/>
  <c r="A488" i="1"/>
  <c r="F487" i="1"/>
  <c r="E487" i="1"/>
  <c r="D487" i="1"/>
  <c r="C487" i="1"/>
  <c r="B487" i="1"/>
  <c r="A487" i="1"/>
  <c r="F486" i="1"/>
  <c r="E486" i="1"/>
  <c r="D486" i="1"/>
  <c r="C486" i="1"/>
  <c r="B486" i="1"/>
  <c r="A486" i="1"/>
  <c r="F485" i="1"/>
  <c r="E485" i="1"/>
  <c r="D485" i="1"/>
  <c r="C485" i="1"/>
  <c r="B485" i="1"/>
  <c r="A485" i="1"/>
  <c r="F484" i="1"/>
  <c r="E484" i="1"/>
  <c r="D484" i="1"/>
  <c r="C484" i="1"/>
  <c r="B484" i="1"/>
  <c r="A484" i="1"/>
  <c r="F483" i="1"/>
  <c r="E483" i="1"/>
  <c r="D483" i="1"/>
  <c r="C483" i="1"/>
  <c r="B483" i="1"/>
  <c r="A483" i="1"/>
  <c r="F482" i="1"/>
  <c r="E482" i="1"/>
  <c r="D482" i="1"/>
  <c r="C482" i="1"/>
  <c r="B482" i="1"/>
  <c r="A482" i="1"/>
  <c r="F481" i="1"/>
  <c r="E481" i="1"/>
  <c r="D481" i="1"/>
  <c r="C481" i="1"/>
  <c r="B481" i="1"/>
  <c r="A481" i="1"/>
  <c r="F480" i="1"/>
  <c r="E480" i="1"/>
  <c r="D480" i="1"/>
  <c r="C480" i="1"/>
  <c r="B480" i="1"/>
  <c r="A480" i="1"/>
  <c r="F479" i="1"/>
  <c r="E479" i="1"/>
  <c r="D479" i="1"/>
  <c r="C479" i="1"/>
  <c r="B479" i="1"/>
  <c r="A479" i="1"/>
  <c r="F478" i="1"/>
  <c r="E478" i="1"/>
  <c r="D478" i="1"/>
  <c r="C478" i="1"/>
  <c r="B478" i="1"/>
  <c r="A478" i="1"/>
  <c r="F477" i="1"/>
  <c r="E477" i="1"/>
  <c r="D477" i="1"/>
  <c r="C477" i="1"/>
  <c r="B477" i="1"/>
  <c r="A477" i="1"/>
  <c r="F476" i="1"/>
  <c r="E476" i="1"/>
  <c r="D476" i="1"/>
  <c r="C476" i="1"/>
  <c r="B476" i="1"/>
  <c r="A476" i="1"/>
  <c r="F475" i="1"/>
  <c r="E475" i="1"/>
  <c r="D475" i="1"/>
  <c r="C475" i="1"/>
  <c r="B475" i="1"/>
  <c r="A475" i="1"/>
  <c r="F474" i="1"/>
  <c r="E474" i="1"/>
  <c r="D474" i="1"/>
  <c r="C474" i="1"/>
  <c r="B474" i="1"/>
  <c r="A474" i="1"/>
  <c r="F473" i="1"/>
  <c r="E473" i="1"/>
  <c r="D473" i="1"/>
  <c r="C473" i="1"/>
  <c r="B473" i="1"/>
  <c r="A473" i="1"/>
  <c r="F472" i="1"/>
  <c r="E472" i="1"/>
  <c r="D472" i="1"/>
  <c r="C472" i="1"/>
  <c r="B472" i="1"/>
  <c r="A472" i="1"/>
  <c r="F471" i="1"/>
  <c r="E471" i="1"/>
  <c r="D471" i="1"/>
  <c r="C471" i="1"/>
  <c r="B471" i="1"/>
  <c r="A471" i="1"/>
  <c r="F470" i="1"/>
  <c r="E470" i="1"/>
  <c r="D470" i="1"/>
  <c r="C470" i="1"/>
  <c r="B470" i="1"/>
  <c r="A470" i="1"/>
  <c r="F469" i="1"/>
  <c r="E469" i="1"/>
  <c r="D469" i="1"/>
  <c r="C469" i="1"/>
  <c r="B469" i="1"/>
  <c r="A469" i="1"/>
  <c r="F468" i="1"/>
  <c r="E468" i="1"/>
  <c r="D468" i="1"/>
  <c r="C468" i="1"/>
  <c r="B468" i="1"/>
  <c r="A468" i="1"/>
  <c r="F467" i="1"/>
  <c r="E467" i="1"/>
  <c r="D467" i="1"/>
  <c r="C467" i="1"/>
  <c r="B467" i="1"/>
  <c r="A467" i="1"/>
  <c r="F466" i="1"/>
  <c r="E466" i="1"/>
  <c r="D466" i="1"/>
  <c r="C466" i="1"/>
  <c r="B466" i="1"/>
  <c r="A466" i="1"/>
  <c r="F465" i="1"/>
  <c r="E465" i="1"/>
  <c r="D465" i="1"/>
  <c r="C465" i="1"/>
  <c r="B465" i="1"/>
  <c r="A465" i="1"/>
  <c r="F464" i="1"/>
  <c r="E464" i="1"/>
  <c r="D464" i="1"/>
  <c r="C464" i="1"/>
  <c r="B464" i="1"/>
  <c r="A464" i="1"/>
  <c r="F463" i="1"/>
  <c r="E463" i="1"/>
  <c r="D463" i="1"/>
  <c r="C463" i="1"/>
  <c r="B463" i="1"/>
  <c r="A463" i="1"/>
  <c r="F462" i="1"/>
  <c r="E462" i="1"/>
  <c r="D462" i="1"/>
  <c r="C462" i="1"/>
  <c r="B462" i="1"/>
  <c r="A462" i="1"/>
  <c r="F461" i="1"/>
  <c r="E461" i="1"/>
  <c r="D461" i="1"/>
  <c r="C461" i="1"/>
  <c r="B461" i="1"/>
  <c r="A461" i="1"/>
  <c r="F460" i="1"/>
  <c r="E460" i="1"/>
  <c r="D460" i="1"/>
  <c r="C460" i="1"/>
  <c r="B460" i="1"/>
  <c r="A460" i="1"/>
  <c r="F459" i="1"/>
  <c r="E459" i="1"/>
  <c r="D459" i="1"/>
  <c r="C459" i="1"/>
  <c r="B459" i="1"/>
  <c r="A459" i="1"/>
  <c r="F458" i="1"/>
  <c r="E458" i="1"/>
  <c r="D458" i="1"/>
  <c r="C458" i="1"/>
  <c r="B458" i="1"/>
  <c r="A458" i="1"/>
  <c r="F457" i="1"/>
  <c r="E457" i="1"/>
  <c r="D457" i="1"/>
  <c r="C457" i="1"/>
  <c r="B457" i="1"/>
  <c r="A457" i="1"/>
  <c r="F456" i="1"/>
  <c r="E456" i="1"/>
  <c r="D456" i="1"/>
  <c r="C456" i="1"/>
  <c r="B456" i="1"/>
  <c r="A456" i="1"/>
  <c r="F455" i="1"/>
  <c r="E455" i="1"/>
  <c r="D455" i="1"/>
  <c r="C455" i="1"/>
  <c r="B455" i="1"/>
  <c r="A455" i="1"/>
  <c r="F454" i="1"/>
  <c r="E454" i="1"/>
  <c r="D454" i="1"/>
  <c r="C454" i="1"/>
  <c r="B454" i="1"/>
  <c r="A454" i="1"/>
  <c r="F453" i="1"/>
  <c r="E453" i="1"/>
  <c r="D453" i="1"/>
  <c r="C453" i="1"/>
  <c r="B453" i="1"/>
  <c r="A453" i="1"/>
  <c r="F452" i="1"/>
  <c r="E452" i="1"/>
  <c r="D452" i="1"/>
  <c r="C452" i="1"/>
  <c r="B452" i="1"/>
  <c r="A452" i="1"/>
  <c r="F451" i="1"/>
  <c r="E451" i="1"/>
  <c r="D451" i="1"/>
  <c r="C451" i="1"/>
  <c r="B451" i="1"/>
  <c r="A451" i="1"/>
  <c r="F450" i="1"/>
  <c r="E450" i="1"/>
  <c r="D450" i="1"/>
  <c r="C450" i="1"/>
  <c r="B450" i="1"/>
  <c r="A450" i="1"/>
  <c r="F449" i="1"/>
  <c r="E449" i="1"/>
  <c r="D449" i="1"/>
  <c r="C449" i="1"/>
  <c r="B449" i="1"/>
  <c r="A449" i="1"/>
  <c r="F448" i="1"/>
  <c r="E448" i="1"/>
  <c r="D448" i="1"/>
  <c r="C448" i="1"/>
  <c r="B448" i="1"/>
  <c r="A448" i="1"/>
  <c r="F447" i="1"/>
  <c r="E447" i="1"/>
  <c r="D447" i="1"/>
  <c r="C447" i="1"/>
  <c r="B447" i="1"/>
  <c r="A447" i="1"/>
  <c r="F446" i="1"/>
  <c r="E446" i="1"/>
  <c r="D446" i="1"/>
  <c r="C446" i="1"/>
  <c r="B446" i="1"/>
  <c r="A446" i="1"/>
  <c r="F445" i="1"/>
  <c r="E445" i="1"/>
  <c r="D445" i="1"/>
  <c r="C445" i="1"/>
  <c r="B445" i="1"/>
  <c r="A445" i="1"/>
  <c r="F444" i="1"/>
  <c r="E444" i="1"/>
  <c r="D444" i="1"/>
  <c r="C444" i="1"/>
  <c r="B444" i="1"/>
  <c r="A444" i="1"/>
  <c r="F443" i="1"/>
  <c r="E443" i="1"/>
  <c r="D443" i="1"/>
  <c r="C443" i="1"/>
  <c r="B443" i="1"/>
  <c r="A443" i="1"/>
  <c r="F442" i="1"/>
  <c r="E442" i="1"/>
  <c r="D442" i="1"/>
  <c r="C442" i="1"/>
  <c r="B442" i="1"/>
  <c r="A442" i="1"/>
  <c r="F441" i="1"/>
  <c r="E441" i="1"/>
  <c r="D441" i="1"/>
  <c r="C441" i="1"/>
  <c r="B441" i="1"/>
  <c r="A441" i="1"/>
  <c r="F440" i="1"/>
  <c r="E440" i="1"/>
  <c r="D440" i="1"/>
  <c r="C440" i="1"/>
  <c r="B440" i="1"/>
  <c r="A440" i="1"/>
  <c r="F439" i="1"/>
  <c r="E439" i="1"/>
  <c r="D439" i="1"/>
  <c r="C439" i="1"/>
  <c r="B439" i="1"/>
  <c r="A439" i="1"/>
  <c r="F438" i="1"/>
  <c r="E438" i="1"/>
  <c r="D438" i="1"/>
  <c r="C438" i="1"/>
  <c r="B438" i="1"/>
  <c r="A438" i="1"/>
  <c r="F437" i="1"/>
  <c r="E437" i="1"/>
  <c r="D437" i="1"/>
  <c r="C437" i="1"/>
  <c r="B437" i="1"/>
  <c r="A437" i="1"/>
  <c r="F436" i="1"/>
  <c r="E436" i="1"/>
  <c r="D436" i="1"/>
  <c r="C436" i="1"/>
  <c r="B436" i="1"/>
  <c r="A436" i="1"/>
  <c r="F435" i="1"/>
  <c r="E435" i="1"/>
  <c r="D435" i="1"/>
  <c r="C435" i="1"/>
  <c r="B435" i="1"/>
  <c r="A435" i="1"/>
  <c r="F434" i="1"/>
  <c r="E434" i="1"/>
  <c r="D434" i="1"/>
  <c r="C434" i="1"/>
  <c r="B434" i="1"/>
  <c r="A434" i="1"/>
  <c r="F433" i="1"/>
  <c r="E433" i="1"/>
  <c r="D433" i="1"/>
  <c r="C433" i="1"/>
  <c r="B433" i="1"/>
  <c r="A433" i="1"/>
  <c r="F432" i="1"/>
  <c r="E432" i="1"/>
  <c r="D432" i="1"/>
  <c r="C432" i="1"/>
  <c r="B432" i="1"/>
  <c r="A432" i="1"/>
  <c r="F431" i="1"/>
  <c r="E431" i="1"/>
  <c r="D431" i="1"/>
  <c r="C431" i="1"/>
  <c r="B431" i="1"/>
  <c r="A431" i="1"/>
  <c r="F430" i="1"/>
  <c r="E430" i="1"/>
  <c r="D430" i="1"/>
  <c r="C430" i="1"/>
  <c r="B430" i="1"/>
  <c r="A430" i="1"/>
  <c r="F429" i="1"/>
  <c r="E429" i="1"/>
  <c r="D429" i="1"/>
  <c r="C429" i="1"/>
  <c r="B429" i="1"/>
  <c r="A429" i="1"/>
  <c r="F428" i="1"/>
  <c r="E428" i="1"/>
  <c r="D428" i="1"/>
  <c r="C428" i="1"/>
  <c r="B428" i="1"/>
  <c r="A428" i="1"/>
  <c r="F427" i="1"/>
  <c r="E427" i="1"/>
  <c r="D427" i="1"/>
  <c r="C427" i="1"/>
  <c r="B427" i="1"/>
  <c r="A427" i="1"/>
  <c r="F426" i="1"/>
  <c r="E426" i="1"/>
  <c r="D426" i="1"/>
  <c r="C426" i="1"/>
  <c r="B426" i="1"/>
  <c r="A426" i="1"/>
  <c r="F425" i="1"/>
  <c r="E425" i="1"/>
  <c r="D425" i="1"/>
  <c r="C425" i="1"/>
  <c r="B425" i="1"/>
  <c r="A425" i="1"/>
  <c r="F424" i="1"/>
  <c r="E424" i="1"/>
  <c r="D424" i="1"/>
  <c r="C424" i="1"/>
  <c r="B424" i="1"/>
  <c r="A424" i="1"/>
  <c r="F423" i="1"/>
  <c r="E423" i="1"/>
  <c r="D423" i="1"/>
  <c r="C423" i="1"/>
  <c r="B423" i="1"/>
  <c r="A423" i="1"/>
  <c r="F422" i="1"/>
  <c r="E422" i="1"/>
  <c r="D422" i="1"/>
  <c r="C422" i="1"/>
  <c r="B422" i="1"/>
  <c r="A422" i="1"/>
  <c r="F421" i="1"/>
  <c r="E421" i="1"/>
  <c r="D421" i="1"/>
  <c r="C421" i="1"/>
  <c r="B421" i="1"/>
  <c r="A421" i="1"/>
  <c r="F420" i="1"/>
  <c r="E420" i="1"/>
  <c r="D420" i="1"/>
  <c r="C420" i="1"/>
  <c r="B420" i="1"/>
  <c r="A420" i="1"/>
  <c r="F419" i="1"/>
  <c r="E419" i="1"/>
  <c r="D419" i="1"/>
  <c r="C419" i="1"/>
  <c r="B419" i="1"/>
  <c r="A419" i="1"/>
  <c r="F418" i="1"/>
  <c r="E418" i="1"/>
  <c r="D418" i="1"/>
  <c r="C418" i="1"/>
  <c r="B418" i="1"/>
  <c r="A418" i="1"/>
  <c r="F417" i="1"/>
  <c r="E417" i="1"/>
  <c r="D417" i="1"/>
  <c r="C417" i="1"/>
  <c r="B417" i="1"/>
  <c r="A417" i="1"/>
  <c r="F416" i="1"/>
  <c r="E416" i="1"/>
  <c r="D416" i="1"/>
  <c r="C416" i="1"/>
  <c r="B416" i="1"/>
  <c r="A416" i="1"/>
  <c r="F415" i="1"/>
  <c r="E415" i="1"/>
  <c r="D415" i="1"/>
  <c r="C415" i="1"/>
  <c r="B415" i="1"/>
  <c r="A415" i="1"/>
  <c r="F414" i="1"/>
  <c r="E414" i="1"/>
  <c r="D414" i="1"/>
  <c r="C414" i="1"/>
  <c r="B414" i="1"/>
  <c r="A414" i="1"/>
  <c r="F413" i="1"/>
  <c r="E413" i="1"/>
  <c r="D413" i="1"/>
  <c r="C413" i="1"/>
  <c r="B413" i="1"/>
  <c r="A413" i="1"/>
  <c r="F412" i="1"/>
  <c r="E412" i="1"/>
  <c r="D412" i="1"/>
  <c r="C412" i="1"/>
  <c r="B412" i="1"/>
  <c r="A412" i="1"/>
  <c r="F411" i="1"/>
  <c r="E411" i="1"/>
  <c r="D411" i="1"/>
  <c r="C411" i="1"/>
  <c r="B411" i="1"/>
  <c r="A411" i="1"/>
  <c r="F410" i="1"/>
  <c r="E410" i="1"/>
  <c r="D410" i="1"/>
  <c r="C410" i="1"/>
  <c r="B410" i="1"/>
  <c r="A410" i="1"/>
  <c r="F409" i="1"/>
  <c r="E409" i="1"/>
  <c r="D409" i="1"/>
  <c r="C409" i="1"/>
  <c r="B409" i="1"/>
  <c r="A409" i="1"/>
  <c r="F408" i="1"/>
  <c r="E408" i="1"/>
  <c r="D408" i="1"/>
  <c r="C408" i="1"/>
  <c r="B408" i="1"/>
  <c r="A408" i="1"/>
  <c r="F407" i="1"/>
  <c r="E407" i="1"/>
  <c r="D407" i="1"/>
  <c r="C407" i="1"/>
  <c r="B407" i="1"/>
  <c r="A407" i="1"/>
  <c r="F406" i="1"/>
  <c r="E406" i="1"/>
  <c r="D406" i="1"/>
  <c r="C406" i="1"/>
  <c r="B406" i="1"/>
  <c r="A406" i="1"/>
  <c r="F405" i="1"/>
  <c r="E405" i="1"/>
  <c r="D405" i="1"/>
  <c r="C405" i="1"/>
  <c r="B405" i="1"/>
  <c r="A405" i="1"/>
  <c r="F404" i="1"/>
  <c r="E404" i="1"/>
  <c r="D404" i="1"/>
  <c r="C404" i="1"/>
  <c r="B404" i="1"/>
  <c r="A404" i="1"/>
  <c r="F403" i="1"/>
  <c r="E403" i="1"/>
  <c r="D403" i="1"/>
  <c r="C403" i="1"/>
  <c r="B403" i="1"/>
  <c r="A403" i="1"/>
  <c r="F402" i="1"/>
  <c r="E402" i="1"/>
  <c r="D402" i="1"/>
  <c r="C402" i="1"/>
  <c r="B402" i="1"/>
  <c r="A402" i="1"/>
  <c r="F401" i="1"/>
  <c r="E401" i="1"/>
  <c r="D401" i="1"/>
  <c r="C401" i="1"/>
  <c r="B401" i="1"/>
  <c r="A401" i="1"/>
  <c r="F400" i="1"/>
  <c r="E400" i="1"/>
  <c r="D400" i="1"/>
  <c r="C400" i="1"/>
  <c r="B400" i="1"/>
  <c r="A400" i="1"/>
  <c r="F399" i="1"/>
  <c r="E399" i="1"/>
  <c r="D399" i="1"/>
  <c r="C399" i="1"/>
  <c r="B399" i="1"/>
  <c r="A399" i="1"/>
  <c r="F398" i="1"/>
  <c r="E398" i="1"/>
  <c r="D398" i="1"/>
  <c r="C398" i="1"/>
  <c r="B398" i="1"/>
  <c r="A398" i="1"/>
  <c r="F397" i="1"/>
  <c r="E397" i="1"/>
  <c r="D397" i="1"/>
  <c r="C397" i="1"/>
  <c r="B397" i="1"/>
  <c r="A397" i="1"/>
  <c r="F396" i="1"/>
  <c r="E396" i="1"/>
  <c r="D396" i="1"/>
  <c r="C396" i="1"/>
  <c r="B396" i="1"/>
  <c r="A396" i="1"/>
  <c r="F395" i="1"/>
  <c r="E395" i="1"/>
  <c r="D395" i="1"/>
  <c r="C395" i="1"/>
  <c r="B395" i="1"/>
  <c r="A395" i="1"/>
  <c r="F394" i="1"/>
  <c r="E394" i="1"/>
  <c r="D394" i="1"/>
  <c r="C394" i="1"/>
  <c r="B394" i="1"/>
  <c r="A394" i="1"/>
  <c r="F393" i="1"/>
  <c r="E393" i="1"/>
  <c r="D393" i="1"/>
  <c r="C393" i="1"/>
  <c r="B393" i="1"/>
  <c r="A393" i="1"/>
  <c r="F392" i="1"/>
  <c r="E392" i="1"/>
  <c r="D392" i="1"/>
  <c r="C392" i="1"/>
  <c r="B392" i="1"/>
  <c r="A392" i="1"/>
  <c r="F391" i="1"/>
  <c r="E391" i="1"/>
  <c r="D391" i="1"/>
  <c r="C391" i="1"/>
  <c r="B391" i="1"/>
  <c r="A391" i="1"/>
  <c r="F390" i="1"/>
  <c r="E390" i="1"/>
  <c r="D390" i="1"/>
  <c r="C390" i="1"/>
  <c r="B390" i="1"/>
  <c r="A390" i="1"/>
  <c r="F389" i="1"/>
  <c r="E389" i="1"/>
  <c r="D389" i="1"/>
  <c r="C389" i="1"/>
  <c r="B389" i="1"/>
  <c r="A389" i="1"/>
  <c r="F388" i="1"/>
  <c r="E388" i="1"/>
  <c r="D388" i="1"/>
  <c r="C388" i="1"/>
  <c r="B388" i="1"/>
  <c r="A388" i="1"/>
  <c r="F387" i="1"/>
  <c r="E387" i="1"/>
  <c r="D387" i="1"/>
  <c r="C387" i="1"/>
  <c r="B387" i="1"/>
  <c r="A387" i="1"/>
  <c r="F386" i="1"/>
  <c r="E386" i="1"/>
  <c r="D386" i="1"/>
  <c r="C386" i="1"/>
  <c r="B386" i="1"/>
  <c r="A386" i="1"/>
  <c r="F385" i="1"/>
  <c r="E385" i="1"/>
  <c r="D385" i="1"/>
  <c r="C385" i="1"/>
  <c r="B385" i="1"/>
  <c r="A385" i="1"/>
  <c r="F384" i="1"/>
  <c r="E384" i="1"/>
  <c r="D384" i="1"/>
  <c r="C384" i="1"/>
  <c r="B384" i="1"/>
  <c r="A384" i="1"/>
  <c r="F383" i="1"/>
  <c r="E383" i="1"/>
  <c r="D383" i="1"/>
  <c r="C383" i="1"/>
  <c r="B383" i="1"/>
  <c r="A383" i="1"/>
  <c r="F382" i="1"/>
  <c r="E382" i="1"/>
  <c r="D382" i="1"/>
  <c r="C382" i="1"/>
  <c r="B382" i="1"/>
  <c r="A382" i="1"/>
  <c r="F381" i="1"/>
  <c r="E381" i="1"/>
  <c r="D381" i="1"/>
  <c r="C381" i="1"/>
  <c r="B381" i="1"/>
  <c r="A381" i="1"/>
  <c r="F380" i="1"/>
  <c r="E380" i="1"/>
  <c r="D380" i="1"/>
  <c r="C380" i="1"/>
  <c r="B380" i="1"/>
  <c r="A380" i="1"/>
  <c r="F379" i="1"/>
  <c r="E379" i="1"/>
  <c r="D379" i="1"/>
  <c r="C379" i="1"/>
  <c r="B379" i="1"/>
  <c r="A379" i="1"/>
  <c r="F378" i="1"/>
  <c r="E378" i="1"/>
  <c r="D378" i="1"/>
  <c r="C378" i="1"/>
  <c r="B378" i="1"/>
  <c r="A378" i="1"/>
  <c r="F377" i="1"/>
  <c r="E377" i="1"/>
  <c r="D377" i="1"/>
  <c r="C377" i="1"/>
  <c r="B377" i="1"/>
  <c r="A377" i="1"/>
  <c r="F376" i="1"/>
  <c r="E376" i="1"/>
  <c r="D376" i="1"/>
  <c r="C376" i="1"/>
  <c r="B376" i="1"/>
  <c r="A376" i="1"/>
  <c r="F375" i="1"/>
  <c r="E375" i="1"/>
  <c r="D375" i="1"/>
  <c r="C375" i="1"/>
  <c r="B375" i="1"/>
  <c r="A375" i="1"/>
  <c r="F374" i="1"/>
  <c r="E374" i="1"/>
  <c r="D374" i="1"/>
  <c r="C374" i="1"/>
  <c r="B374" i="1"/>
  <c r="A374" i="1"/>
  <c r="F373" i="1"/>
  <c r="E373" i="1"/>
  <c r="D373" i="1"/>
  <c r="C373" i="1"/>
  <c r="B373" i="1"/>
  <c r="A373" i="1"/>
  <c r="F372" i="1"/>
  <c r="E372" i="1"/>
  <c r="D372" i="1"/>
  <c r="C372" i="1"/>
  <c r="B372" i="1"/>
  <c r="A372" i="1"/>
  <c r="F371" i="1"/>
  <c r="E371" i="1"/>
  <c r="D371" i="1"/>
  <c r="C371" i="1"/>
  <c r="B371" i="1"/>
  <c r="A371" i="1"/>
  <c r="F370" i="1"/>
  <c r="E370" i="1"/>
  <c r="D370" i="1"/>
  <c r="C370" i="1"/>
  <c r="B370" i="1"/>
  <c r="A370" i="1"/>
  <c r="F369" i="1"/>
  <c r="E369" i="1"/>
  <c r="D369" i="1"/>
  <c r="C369" i="1"/>
  <c r="B369" i="1"/>
  <c r="A369" i="1"/>
  <c r="F368" i="1"/>
  <c r="E368" i="1"/>
  <c r="D368" i="1"/>
  <c r="C368" i="1"/>
  <c r="B368" i="1"/>
  <c r="A368" i="1"/>
  <c r="F367" i="1"/>
  <c r="E367" i="1"/>
  <c r="D367" i="1"/>
  <c r="C367" i="1"/>
  <c r="B367" i="1"/>
  <c r="A367" i="1"/>
  <c r="F366" i="1"/>
  <c r="E366" i="1"/>
  <c r="D366" i="1"/>
  <c r="C366" i="1"/>
  <c r="B366" i="1"/>
  <c r="A366" i="1"/>
  <c r="F365" i="1"/>
  <c r="E365" i="1"/>
  <c r="D365" i="1"/>
  <c r="C365" i="1"/>
  <c r="B365" i="1"/>
  <c r="A365" i="1"/>
  <c r="F364" i="1"/>
  <c r="E364" i="1"/>
  <c r="D364" i="1"/>
  <c r="C364" i="1"/>
  <c r="B364" i="1"/>
  <c r="A364" i="1"/>
  <c r="F363" i="1"/>
  <c r="E363" i="1"/>
  <c r="D363" i="1"/>
  <c r="C363" i="1"/>
  <c r="B363" i="1"/>
  <c r="A363" i="1"/>
  <c r="F362" i="1"/>
  <c r="E362" i="1"/>
  <c r="D362" i="1"/>
  <c r="C362" i="1"/>
  <c r="B362" i="1"/>
  <c r="A362" i="1"/>
  <c r="F361" i="1"/>
  <c r="E361" i="1"/>
  <c r="D361" i="1"/>
  <c r="C361" i="1"/>
  <c r="B361" i="1"/>
  <c r="A361" i="1"/>
  <c r="F360" i="1"/>
  <c r="E360" i="1"/>
  <c r="D360" i="1"/>
  <c r="C360" i="1"/>
  <c r="B360" i="1"/>
  <c r="A360" i="1"/>
  <c r="F359" i="1"/>
  <c r="E359" i="1"/>
  <c r="D359" i="1"/>
  <c r="C359" i="1"/>
  <c r="B359" i="1"/>
  <c r="A359" i="1"/>
  <c r="F358" i="1"/>
  <c r="E358" i="1"/>
  <c r="D358" i="1"/>
  <c r="C358" i="1"/>
  <c r="B358" i="1"/>
  <c r="A358" i="1"/>
  <c r="F357" i="1"/>
  <c r="E357" i="1"/>
  <c r="D357" i="1"/>
  <c r="C357" i="1"/>
  <c r="B357" i="1"/>
  <c r="A357" i="1"/>
  <c r="F356" i="1"/>
  <c r="E356" i="1"/>
  <c r="D356" i="1"/>
  <c r="C356" i="1"/>
  <c r="B356" i="1"/>
  <c r="A356" i="1"/>
  <c r="F355" i="1"/>
  <c r="E355" i="1"/>
  <c r="D355" i="1"/>
  <c r="C355" i="1"/>
  <c r="B355" i="1"/>
  <c r="A355" i="1"/>
  <c r="F354" i="1"/>
  <c r="E354" i="1"/>
  <c r="D354" i="1"/>
  <c r="C354" i="1"/>
  <c r="B354" i="1"/>
  <c r="A354" i="1"/>
  <c r="F353" i="1"/>
  <c r="E353" i="1"/>
  <c r="D353" i="1"/>
  <c r="C353" i="1"/>
  <c r="B353" i="1"/>
  <c r="A353" i="1"/>
  <c r="F352" i="1"/>
  <c r="E352" i="1"/>
  <c r="D352" i="1"/>
  <c r="C352" i="1"/>
  <c r="B352" i="1"/>
  <c r="A352" i="1"/>
  <c r="F351" i="1"/>
  <c r="E351" i="1"/>
  <c r="D351" i="1"/>
  <c r="C351" i="1"/>
  <c r="B351" i="1"/>
  <c r="A351" i="1"/>
  <c r="F350" i="1"/>
  <c r="E350" i="1"/>
  <c r="D350" i="1"/>
  <c r="C350" i="1"/>
  <c r="B350" i="1"/>
  <c r="A350" i="1"/>
  <c r="F349" i="1"/>
  <c r="E349" i="1"/>
  <c r="D349" i="1"/>
  <c r="C349" i="1"/>
  <c r="B349" i="1"/>
  <c r="A349" i="1"/>
  <c r="F348" i="1"/>
  <c r="E348" i="1"/>
  <c r="D348" i="1"/>
  <c r="C348" i="1"/>
  <c r="B348" i="1"/>
  <c r="A348" i="1"/>
  <c r="F347" i="1"/>
  <c r="E347" i="1"/>
  <c r="D347" i="1"/>
  <c r="C347" i="1"/>
  <c r="B347" i="1"/>
  <c r="A347" i="1"/>
  <c r="F346" i="1"/>
  <c r="E346" i="1"/>
  <c r="D346" i="1"/>
  <c r="C346" i="1"/>
  <c r="B346" i="1"/>
  <c r="A346" i="1"/>
  <c r="F345" i="1"/>
  <c r="E345" i="1"/>
  <c r="D345" i="1"/>
  <c r="C345" i="1"/>
  <c r="B345" i="1"/>
  <c r="A345" i="1"/>
  <c r="F344" i="1"/>
  <c r="E344" i="1"/>
  <c r="D344" i="1"/>
  <c r="C344" i="1"/>
  <c r="B344" i="1"/>
  <c r="A344" i="1"/>
  <c r="F343" i="1"/>
  <c r="E343" i="1"/>
  <c r="D343" i="1"/>
  <c r="C343" i="1"/>
  <c r="B343" i="1"/>
  <c r="A343" i="1"/>
  <c r="F342" i="1"/>
  <c r="E342" i="1"/>
  <c r="D342" i="1"/>
  <c r="C342" i="1"/>
  <c r="B342" i="1"/>
  <c r="A342" i="1"/>
  <c r="F341" i="1"/>
  <c r="E341" i="1"/>
  <c r="D341" i="1"/>
  <c r="C341" i="1"/>
  <c r="B341" i="1"/>
  <c r="A341" i="1"/>
  <c r="F340" i="1"/>
  <c r="E340" i="1"/>
  <c r="D340" i="1"/>
  <c r="C340" i="1"/>
  <c r="B340" i="1"/>
  <c r="A340" i="1"/>
  <c r="F339" i="1"/>
  <c r="E339" i="1"/>
  <c r="D339" i="1"/>
  <c r="C339" i="1"/>
  <c r="B339" i="1"/>
  <c r="A339" i="1"/>
  <c r="F338" i="1"/>
  <c r="E338" i="1"/>
  <c r="D338" i="1"/>
  <c r="C338" i="1"/>
  <c r="B338" i="1"/>
  <c r="A338" i="1"/>
  <c r="F337" i="1"/>
  <c r="E337" i="1"/>
  <c r="D337" i="1"/>
  <c r="C337" i="1"/>
  <c r="B337" i="1"/>
  <c r="A337" i="1"/>
  <c r="F336" i="1"/>
  <c r="E336" i="1"/>
  <c r="D336" i="1"/>
  <c r="C336" i="1"/>
  <c r="B336" i="1"/>
  <c r="A336" i="1"/>
  <c r="F335" i="1"/>
  <c r="E335" i="1"/>
  <c r="D335" i="1"/>
  <c r="C335" i="1"/>
  <c r="B335" i="1"/>
  <c r="A335" i="1"/>
  <c r="F334" i="1"/>
  <c r="E334" i="1"/>
  <c r="D334" i="1"/>
  <c r="C334" i="1"/>
  <c r="B334" i="1"/>
  <c r="A334" i="1"/>
  <c r="F333" i="1"/>
  <c r="E333" i="1"/>
  <c r="D333" i="1"/>
  <c r="C333" i="1"/>
  <c r="B333" i="1"/>
  <c r="A333" i="1"/>
  <c r="F332" i="1"/>
  <c r="E332" i="1"/>
  <c r="D332" i="1"/>
  <c r="C332" i="1"/>
  <c r="B332" i="1"/>
  <c r="A332" i="1"/>
  <c r="F331" i="1"/>
  <c r="E331" i="1"/>
  <c r="D331" i="1"/>
  <c r="C331" i="1"/>
  <c r="B331" i="1"/>
  <c r="A331" i="1"/>
  <c r="F330" i="1"/>
  <c r="E330" i="1"/>
  <c r="D330" i="1"/>
  <c r="C330" i="1"/>
  <c r="B330" i="1"/>
  <c r="A330" i="1"/>
  <c r="F329" i="1"/>
  <c r="E329" i="1"/>
  <c r="D329" i="1"/>
  <c r="C329" i="1"/>
  <c r="B329" i="1"/>
  <c r="A329" i="1"/>
  <c r="F328" i="1"/>
  <c r="E328" i="1"/>
  <c r="D328" i="1"/>
  <c r="C328" i="1"/>
  <c r="B328" i="1"/>
  <c r="A328" i="1"/>
  <c r="F327" i="1"/>
  <c r="E327" i="1"/>
  <c r="D327" i="1"/>
  <c r="C327" i="1"/>
  <c r="B327" i="1"/>
  <c r="A327" i="1"/>
  <c r="F326" i="1"/>
  <c r="E326" i="1"/>
  <c r="D326" i="1"/>
  <c r="C326" i="1"/>
  <c r="B326" i="1"/>
  <c r="A326" i="1"/>
  <c r="F325" i="1"/>
  <c r="E325" i="1"/>
  <c r="D325" i="1"/>
  <c r="C325" i="1"/>
  <c r="B325" i="1"/>
  <c r="A325" i="1"/>
  <c r="F324" i="1"/>
  <c r="E324" i="1"/>
  <c r="D324" i="1"/>
  <c r="C324" i="1"/>
  <c r="B324" i="1"/>
  <c r="A324" i="1"/>
  <c r="F323" i="1"/>
  <c r="E323" i="1"/>
  <c r="D323" i="1"/>
  <c r="C323" i="1"/>
  <c r="B323" i="1"/>
  <c r="A323" i="1"/>
  <c r="F322" i="1"/>
  <c r="E322" i="1"/>
  <c r="D322" i="1"/>
  <c r="C322" i="1"/>
  <c r="B322" i="1"/>
  <c r="A322" i="1"/>
  <c r="F321" i="1"/>
  <c r="E321" i="1"/>
  <c r="D321" i="1"/>
  <c r="C321" i="1"/>
  <c r="B321" i="1"/>
  <c r="A321" i="1"/>
  <c r="F320" i="1"/>
  <c r="E320" i="1"/>
  <c r="D320" i="1"/>
  <c r="C320" i="1"/>
  <c r="B320" i="1"/>
  <c r="A320" i="1"/>
  <c r="F319" i="1"/>
  <c r="E319" i="1"/>
  <c r="D319" i="1"/>
  <c r="C319" i="1"/>
  <c r="B319" i="1"/>
  <c r="A319" i="1"/>
  <c r="F318" i="1"/>
  <c r="E318" i="1"/>
  <c r="D318" i="1"/>
  <c r="C318" i="1"/>
  <c r="B318" i="1"/>
  <c r="A318" i="1"/>
  <c r="F317" i="1"/>
  <c r="E317" i="1"/>
  <c r="D317" i="1"/>
  <c r="C317" i="1"/>
  <c r="B317" i="1"/>
  <c r="A317" i="1"/>
  <c r="F316" i="1"/>
  <c r="E316" i="1"/>
  <c r="D316" i="1"/>
  <c r="C316" i="1"/>
  <c r="B316" i="1"/>
  <c r="A316" i="1"/>
  <c r="F315" i="1"/>
  <c r="E315" i="1"/>
  <c r="D315" i="1"/>
  <c r="C315" i="1"/>
  <c r="B315" i="1"/>
  <c r="A315" i="1"/>
  <c r="F314" i="1"/>
  <c r="E314" i="1"/>
  <c r="D314" i="1"/>
  <c r="C314" i="1"/>
  <c r="B314" i="1"/>
  <c r="A314" i="1"/>
  <c r="F313" i="1"/>
  <c r="E313" i="1"/>
  <c r="D313" i="1"/>
  <c r="C313" i="1"/>
  <c r="B313" i="1"/>
  <c r="A313" i="1"/>
  <c r="F312" i="1"/>
  <c r="E312" i="1"/>
  <c r="D312" i="1"/>
  <c r="C312" i="1"/>
  <c r="B312" i="1"/>
  <c r="A312" i="1"/>
  <c r="F311" i="1"/>
  <c r="E311" i="1"/>
  <c r="D311" i="1"/>
  <c r="C311" i="1"/>
  <c r="B311" i="1"/>
  <c r="A311" i="1"/>
  <c r="F310" i="1"/>
  <c r="E310" i="1"/>
  <c r="D310" i="1"/>
  <c r="C310" i="1"/>
  <c r="B310" i="1"/>
  <c r="A310" i="1"/>
  <c r="F309" i="1"/>
  <c r="E309" i="1"/>
  <c r="D309" i="1"/>
  <c r="C309" i="1"/>
  <c r="B309" i="1"/>
  <c r="A309" i="1"/>
  <c r="F308" i="1"/>
  <c r="E308" i="1"/>
  <c r="D308" i="1"/>
  <c r="C308" i="1"/>
  <c r="B308" i="1"/>
  <c r="A308" i="1"/>
  <c r="F307" i="1"/>
  <c r="E307" i="1"/>
  <c r="D307" i="1"/>
  <c r="C307" i="1"/>
  <c r="B307" i="1"/>
  <c r="A307" i="1"/>
  <c r="F306" i="1"/>
  <c r="E306" i="1"/>
  <c r="D306" i="1"/>
  <c r="C306" i="1"/>
  <c r="B306" i="1"/>
  <c r="A306" i="1"/>
  <c r="F305" i="1"/>
  <c r="E305" i="1"/>
  <c r="D305" i="1"/>
  <c r="C305" i="1"/>
  <c r="B305" i="1"/>
  <c r="A305" i="1"/>
  <c r="F304" i="1"/>
  <c r="E304" i="1"/>
  <c r="D304" i="1"/>
  <c r="C304" i="1"/>
  <c r="B304" i="1"/>
  <c r="A304" i="1"/>
  <c r="F303" i="1"/>
  <c r="E303" i="1"/>
  <c r="D303" i="1"/>
  <c r="C303" i="1"/>
  <c r="B303" i="1"/>
  <c r="A303" i="1"/>
  <c r="F302" i="1"/>
  <c r="E302" i="1"/>
  <c r="D302" i="1"/>
  <c r="C302" i="1"/>
  <c r="B302" i="1"/>
  <c r="A302" i="1"/>
  <c r="F301" i="1"/>
  <c r="E301" i="1"/>
  <c r="D301" i="1"/>
  <c r="C301" i="1"/>
  <c r="B301" i="1"/>
  <c r="A301" i="1"/>
  <c r="F300" i="1"/>
  <c r="E300" i="1"/>
  <c r="D300" i="1"/>
  <c r="C300" i="1"/>
  <c r="B300" i="1"/>
  <c r="A300" i="1"/>
  <c r="F299" i="1"/>
  <c r="E299" i="1"/>
  <c r="D299" i="1"/>
  <c r="C299" i="1"/>
  <c r="B299" i="1"/>
  <c r="A299" i="1"/>
  <c r="F298" i="1"/>
  <c r="E298" i="1"/>
  <c r="D298" i="1"/>
  <c r="C298" i="1"/>
  <c r="B298" i="1"/>
  <c r="A298" i="1"/>
  <c r="F297" i="1"/>
  <c r="E297" i="1"/>
  <c r="D297" i="1"/>
  <c r="C297" i="1"/>
  <c r="B297" i="1"/>
  <c r="A297" i="1"/>
  <c r="F296" i="1"/>
  <c r="E296" i="1"/>
  <c r="D296" i="1"/>
  <c r="C296" i="1"/>
  <c r="B296" i="1"/>
  <c r="A296" i="1"/>
  <c r="F295" i="1"/>
  <c r="E295" i="1"/>
  <c r="D295" i="1"/>
  <c r="C295" i="1"/>
  <c r="B295" i="1"/>
  <c r="A295" i="1"/>
  <c r="F294" i="1"/>
  <c r="E294" i="1"/>
  <c r="D294" i="1"/>
  <c r="C294" i="1"/>
  <c r="B294" i="1"/>
  <c r="A294" i="1"/>
  <c r="F293" i="1"/>
  <c r="E293" i="1"/>
  <c r="D293" i="1"/>
  <c r="C293" i="1"/>
  <c r="B293" i="1"/>
  <c r="A293" i="1"/>
  <c r="F292" i="1"/>
  <c r="E292" i="1"/>
  <c r="D292" i="1"/>
  <c r="C292" i="1"/>
  <c r="B292" i="1"/>
  <c r="A292" i="1"/>
  <c r="F291" i="1"/>
  <c r="E291" i="1"/>
  <c r="D291" i="1"/>
  <c r="C291" i="1"/>
  <c r="B291" i="1"/>
  <c r="A291" i="1"/>
  <c r="F290" i="1"/>
  <c r="E290" i="1"/>
  <c r="D290" i="1"/>
  <c r="C290" i="1"/>
  <c r="B290" i="1"/>
  <c r="A290" i="1"/>
  <c r="F289" i="1"/>
  <c r="E289" i="1"/>
  <c r="D289" i="1"/>
  <c r="C289" i="1"/>
  <c r="B289" i="1"/>
  <c r="A289" i="1"/>
  <c r="F288" i="1"/>
  <c r="E288" i="1"/>
  <c r="D288" i="1"/>
  <c r="C288" i="1"/>
  <c r="B288" i="1"/>
  <c r="A288" i="1"/>
  <c r="F287" i="1"/>
  <c r="E287" i="1"/>
  <c r="D287" i="1"/>
  <c r="C287" i="1"/>
  <c r="B287" i="1"/>
  <c r="A287" i="1"/>
  <c r="F286" i="1"/>
  <c r="E286" i="1"/>
  <c r="D286" i="1"/>
  <c r="C286" i="1"/>
  <c r="B286" i="1"/>
  <c r="A286" i="1"/>
  <c r="F285" i="1"/>
  <c r="E285" i="1"/>
  <c r="D285" i="1"/>
  <c r="C285" i="1"/>
  <c r="B285" i="1"/>
  <c r="A285" i="1"/>
  <c r="F284" i="1"/>
  <c r="E284" i="1"/>
  <c r="D284" i="1"/>
  <c r="C284" i="1"/>
  <c r="B284" i="1"/>
  <c r="A284" i="1"/>
  <c r="F283" i="1"/>
  <c r="E283" i="1"/>
  <c r="D283" i="1"/>
  <c r="C283" i="1"/>
  <c r="B283" i="1"/>
  <c r="A283" i="1"/>
  <c r="F282" i="1"/>
  <c r="E282" i="1"/>
  <c r="D282" i="1"/>
  <c r="C282" i="1"/>
  <c r="B282" i="1"/>
  <c r="A282" i="1"/>
  <c r="F281" i="1"/>
  <c r="E281" i="1"/>
  <c r="D281" i="1"/>
  <c r="C281" i="1"/>
  <c r="B281" i="1"/>
  <c r="A281" i="1"/>
  <c r="F280" i="1"/>
  <c r="E280" i="1"/>
  <c r="D280" i="1"/>
  <c r="C280" i="1"/>
  <c r="B280" i="1"/>
  <c r="A280" i="1"/>
  <c r="F279" i="1"/>
  <c r="E279" i="1"/>
  <c r="D279" i="1"/>
  <c r="C279" i="1"/>
  <c r="B279" i="1"/>
  <c r="A279" i="1"/>
  <c r="F278" i="1"/>
  <c r="E278" i="1"/>
  <c r="D278" i="1"/>
  <c r="C278" i="1"/>
  <c r="B278" i="1"/>
  <c r="A278" i="1"/>
  <c r="F277" i="1"/>
  <c r="E277" i="1"/>
  <c r="D277" i="1"/>
  <c r="C277" i="1"/>
  <c r="B277" i="1"/>
  <c r="A277" i="1"/>
  <c r="F276" i="1"/>
  <c r="E276" i="1"/>
  <c r="D276" i="1"/>
  <c r="C276" i="1"/>
  <c r="B276" i="1"/>
  <c r="A276" i="1"/>
  <c r="F275" i="1"/>
  <c r="E275" i="1"/>
  <c r="D275" i="1"/>
  <c r="C275" i="1"/>
  <c r="B275" i="1"/>
  <c r="A275" i="1"/>
  <c r="F274" i="1"/>
  <c r="E274" i="1"/>
  <c r="D274" i="1"/>
  <c r="C274" i="1"/>
  <c r="B274" i="1"/>
  <c r="A274" i="1"/>
  <c r="F273" i="1"/>
  <c r="E273" i="1"/>
  <c r="D273" i="1"/>
  <c r="C273" i="1"/>
  <c r="B273" i="1"/>
  <c r="A273" i="1"/>
  <c r="F272" i="1"/>
  <c r="E272" i="1"/>
  <c r="D272" i="1"/>
  <c r="C272" i="1"/>
  <c r="B272" i="1"/>
  <c r="A272" i="1"/>
  <c r="F271" i="1"/>
  <c r="E271" i="1"/>
  <c r="D271" i="1"/>
  <c r="C271" i="1"/>
  <c r="B271" i="1"/>
  <c r="A271" i="1"/>
  <c r="F270" i="1"/>
  <c r="E270" i="1"/>
  <c r="D270" i="1"/>
  <c r="C270" i="1"/>
  <c r="B270" i="1"/>
  <c r="A270" i="1"/>
  <c r="F269" i="1"/>
  <c r="E269" i="1"/>
  <c r="D269" i="1"/>
  <c r="C269" i="1"/>
  <c r="B269" i="1"/>
  <c r="A269" i="1"/>
  <c r="F268" i="1"/>
  <c r="E268" i="1"/>
  <c r="D268" i="1"/>
  <c r="C268" i="1"/>
  <c r="B268" i="1"/>
  <c r="A268" i="1"/>
  <c r="F267" i="1"/>
  <c r="E267" i="1"/>
  <c r="D267" i="1"/>
  <c r="C267" i="1"/>
  <c r="B267" i="1"/>
  <c r="A267" i="1"/>
  <c r="F266" i="1"/>
  <c r="E266" i="1"/>
  <c r="D266" i="1"/>
  <c r="C266" i="1"/>
  <c r="B266" i="1"/>
  <c r="A266" i="1"/>
  <c r="F265" i="1"/>
  <c r="E265" i="1"/>
  <c r="D265" i="1"/>
  <c r="C265" i="1"/>
  <c r="B265" i="1"/>
  <c r="A265" i="1"/>
  <c r="F264" i="1"/>
  <c r="E264" i="1"/>
  <c r="D264" i="1"/>
  <c r="C264" i="1"/>
  <c r="B264" i="1"/>
  <c r="A264" i="1"/>
  <c r="F263" i="1"/>
  <c r="E263" i="1"/>
  <c r="D263" i="1"/>
  <c r="C263" i="1"/>
  <c r="B263" i="1"/>
  <c r="A263" i="1"/>
  <c r="F262" i="1"/>
  <c r="E262" i="1"/>
  <c r="D262" i="1"/>
  <c r="C262" i="1"/>
  <c r="B262" i="1"/>
  <c r="A262" i="1"/>
  <c r="F261" i="1"/>
  <c r="E261" i="1"/>
  <c r="D261" i="1"/>
  <c r="C261" i="1"/>
  <c r="B261" i="1"/>
  <c r="A261" i="1"/>
  <c r="F260" i="1"/>
  <c r="E260" i="1"/>
  <c r="D260" i="1"/>
  <c r="C260" i="1"/>
  <c r="B260" i="1"/>
  <c r="A260" i="1"/>
  <c r="F259" i="1"/>
  <c r="E259" i="1"/>
  <c r="D259" i="1"/>
  <c r="C259" i="1"/>
  <c r="B259" i="1"/>
  <c r="A259" i="1"/>
  <c r="F258" i="1"/>
  <c r="E258" i="1"/>
  <c r="D258" i="1"/>
  <c r="C258" i="1"/>
  <c r="B258" i="1"/>
  <c r="A258" i="1"/>
  <c r="F257" i="1"/>
  <c r="E257" i="1"/>
  <c r="D257" i="1"/>
  <c r="C257" i="1"/>
  <c r="B257" i="1"/>
  <c r="A257" i="1"/>
  <c r="F256" i="1"/>
  <c r="E256" i="1"/>
  <c r="D256" i="1"/>
  <c r="C256" i="1"/>
  <c r="B256" i="1"/>
  <c r="A256" i="1"/>
  <c r="F255" i="1"/>
  <c r="E255" i="1"/>
  <c r="D255" i="1"/>
  <c r="C255" i="1"/>
  <c r="B255" i="1"/>
  <c r="A255" i="1"/>
  <c r="F254" i="1"/>
  <c r="E254" i="1"/>
  <c r="D254" i="1"/>
  <c r="C254" i="1"/>
  <c r="B254" i="1"/>
  <c r="A254" i="1"/>
  <c r="F253" i="1"/>
  <c r="E253" i="1"/>
  <c r="D253" i="1"/>
  <c r="C253" i="1"/>
  <c r="B253" i="1"/>
  <c r="A253" i="1"/>
  <c r="F252" i="1"/>
  <c r="E252" i="1"/>
  <c r="D252" i="1"/>
  <c r="C252" i="1"/>
  <c r="B252" i="1"/>
  <c r="A252" i="1"/>
  <c r="F251" i="1"/>
  <c r="E251" i="1"/>
  <c r="D251" i="1"/>
  <c r="C251" i="1"/>
  <c r="B251" i="1"/>
  <c r="A251" i="1"/>
  <c r="F250" i="1"/>
  <c r="E250" i="1"/>
  <c r="D250" i="1"/>
  <c r="C250" i="1"/>
  <c r="B250" i="1"/>
  <c r="A250" i="1"/>
  <c r="F249" i="1"/>
  <c r="E249" i="1"/>
  <c r="D249" i="1"/>
  <c r="C249" i="1"/>
  <c r="B249" i="1"/>
  <c r="A249" i="1"/>
  <c r="F248" i="1"/>
  <c r="E248" i="1"/>
  <c r="D248" i="1"/>
  <c r="C248" i="1"/>
  <c r="B248" i="1"/>
  <c r="A248" i="1"/>
  <c r="F247" i="1"/>
  <c r="E247" i="1"/>
  <c r="D247" i="1"/>
  <c r="C247" i="1"/>
  <c r="B247" i="1"/>
  <c r="A247" i="1"/>
  <c r="F246" i="1"/>
  <c r="E246" i="1"/>
  <c r="D246" i="1"/>
  <c r="C246" i="1"/>
  <c r="B246" i="1"/>
  <c r="A246" i="1"/>
  <c r="F245" i="1"/>
  <c r="E245" i="1"/>
  <c r="D245" i="1"/>
  <c r="C245" i="1"/>
  <c r="B245" i="1"/>
  <c r="A245" i="1"/>
  <c r="F244" i="1"/>
  <c r="E244" i="1"/>
  <c r="D244" i="1"/>
  <c r="C244" i="1"/>
  <c r="B244" i="1"/>
  <c r="A244" i="1"/>
  <c r="F243" i="1"/>
  <c r="E243" i="1"/>
  <c r="D243" i="1"/>
  <c r="C243" i="1"/>
  <c r="B243" i="1"/>
  <c r="A243" i="1"/>
  <c r="F242" i="1"/>
  <c r="E242" i="1"/>
  <c r="D242" i="1"/>
  <c r="C242" i="1"/>
  <c r="B242" i="1"/>
  <c r="A242" i="1"/>
  <c r="F241" i="1"/>
  <c r="E241" i="1"/>
  <c r="D241" i="1"/>
  <c r="C241" i="1"/>
  <c r="B241" i="1"/>
  <c r="A241" i="1"/>
  <c r="F240" i="1"/>
  <c r="E240" i="1"/>
  <c r="D240" i="1"/>
  <c r="C240" i="1"/>
  <c r="B240" i="1"/>
  <c r="A240" i="1"/>
  <c r="F239" i="1"/>
  <c r="E239" i="1"/>
  <c r="D239" i="1"/>
  <c r="C239" i="1"/>
  <c r="B239" i="1"/>
  <c r="A239" i="1"/>
  <c r="F238" i="1"/>
  <c r="E238" i="1"/>
  <c r="D238" i="1"/>
  <c r="C238" i="1"/>
  <c r="B238" i="1"/>
  <c r="A238" i="1"/>
  <c r="F237" i="1"/>
  <c r="E237" i="1"/>
  <c r="D237" i="1"/>
  <c r="C237" i="1"/>
  <c r="B237" i="1"/>
  <c r="A237" i="1"/>
  <c r="F236" i="1"/>
  <c r="E236" i="1"/>
  <c r="D236" i="1"/>
  <c r="C236" i="1"/>
  <c r="B236" i="1"/>
  <c r="A236" i="1"/>
  <c r="F235" i="1"/>
  <c r="E235" i="1"/>
  <c r="D235" i="1"/>
  <c r="C235" i="1"/>
  <c r="B235" i="1"/>
  <c r="A235" i="1"/>
  <c r="F234" i="1"/>
  <c r="E234" i="1"/>
  <c r="D234" i="1"/>
  <c r="C234" i="1"/>
  <c r="B234" i="1"/>
  <c r="A234" i="1"/>
  <c r="F233" i="1"/>
  <c r="E233" i="1"/>
  <c r="D233" i="1"/>
  <c r="C233" i="1"/>
  <c r="B233" i="1"/>
  <c r="A233" i="1"/>
  <c r="F232" i="1"/>
  <c r="E232" i="1"/>
  <c r="D232" i="1"/>
  <c r="C232" i="1"/>
  <c r="B232" i="1"/>
  <c r="A232" i="1"/>
  <c r="F231" i="1"/>
  <c r="E231" i="1"/>
  <c r="D231" i="1"/>
  <c r="C231" i="1"/>
  <c r="B231" i="1"/>
  <c r="A231" i="1"/>
  <c r="F230" i="1"/>
  <c r="E230" i="1"/>
  <c r="D230" i="1"/>
  <c r="C230" i="1"/>
  <c r="B230" i="1"/>
  <c r="A230" i="1"/>
  <c r="F229" i="1"/>
  <c r="E229" i="1"/>
  <c r="D229" i="1"/>
  <c r="C229" i="1"/>
  <c r="B229" i="1"/>
  <c r="A229" i="1"/>
  <c r="F228" i="1"/>
  <c r="E228" i="1"/>
  <c r="D228" i="1"/>
  <c r="C228" i="1"/>
  <c r="B228" i="1"/>
  <c r="A228" i="1"/>
  <c r="F227" i="1"/>
  <c r="E227" i="1"/>
  <c r="D227" i="1"/>
  <c r="C227" i="1"/>
  <c r="B227" i="1"/>
  <c r="A227" i="1"/>
  <c r="F226" i="1"/>
  <c r="E226" i="1"/>
  <c r="D226" i="1"/>
  <c r="C226" i="1"/>
  <c r="B226" i="1"/>
  <c r="A226" i="1"/>
  <c r="F225" i="1"/>
  <c r="E225" i="1"/>
  <c r="D225" i="1"/>
  <c r="C225" i="1"/>
  <c r="B225" i="1"/>
  <c r="A225" i="1"/>
  <c r="F224" i="1"/>
  <c r="E224" i="1"/>
  <c r="D224" i="1"/>
  <c r="C224" i="1"/>
  <c r="B224" i="1"/>
  <c r="A224" i="1"/>
  <c r="F223" i="1"/>
  <c r="E223" i="1"/>
  <c r="D223" i="1"/>
  <c r="C223" i="1"/>
  <c r="B223" i="1"/>
  <c r="A223" i="1"/>
  <c r="F222" i="1"/>
  <c r="E222" i="1"/>
  <c r="D222" i="1"/>
  <c r="C222" i="1"/>
  <c r="B222" i="1"/>
  <c r="A222" i="1"/>
  <c r="F221" i="1"/>
  <c r="E221" i="1"/>
  <c r="D221" i="1"/>
  <c r="C221" i="1"/>
  <c r="B221" i="1"/>
  <c r="A221" i="1"/>
  <c r="F220" i="1"/>
  <c r="E220" i="1"/>
  <c r="D220" i="1"/>
  <c r="C220" i="1"/>
  <c r="B220" i="1"/>
  <c r="A220" i="1"/>
  <c r="F219" i="1"/>
  <c r="E219" i="1"/>
  <c r="D219" i="1"/>
  <c r="C219" i="1"/>
  <c r="B219" i="1"/>
  <c r="A219" i="1"/>
  <c r="F218" i="1"/>
  <c r="E218" i="1"/>
  <c r="D218" i="1"/>
  <c r="C218" i="1"/>
  <c r="B218" i="1"/>
  <c r="A218" i="1"/>
  <c r="F217" i="1"/>
  <c r="E217" i="1"/>
  <c r="D217" i="1"/>
  <c r="C217" i="1"/>
  <c r="B217" i="1"/>
  <c r="A217" i="1"/>
  <c r="F216" i="1"/>
  <c r="E216" i="1"/>
  <c r="D216" i="1"/>
  <c r="C216" i="1"/>
  <c r="B216" i="1"/>
  <c r="A216" i="1"/>
  <c r="F215" i="1"/>
  <c r="E215" i="1"/>
  <c r="D215" i="1"/>
  <c r="C215" i="1"/>
  <c r="B215" i="1"/>
  <c r="A215" i="1"/>
  <c r="F214" i="1"/>
  <c r="E214" i="1"/>
  <c r="D214" i="1"/>
  <c r="C214" i="1"/>
  <c r="B214" i="1"/>
  <c r="A214" i="1"/>
  <c r="F213" i="1"/>
  <c r="E213" i="1"/>
  <c r="D213" i="1"/>
  <c r="C213" i="1"/>
  <c r="B213" i="1"/>
  <c r="A213" i="1"/>
  <c r="F212" i="1"/>
  <c r="E212" i="1"/>
  <c r="D212" i="1"/>
  <c r="C212" i="1"/>
  <c r="B212" i="1"/>
  <c r="A212" i="1"/>
  <c r="F211" i="1"/>
  <c r="E211" i="1"/>
  <c r="D211" i="1"/>
  <c r="C211" i="1"/>
  <c r="B211" i="1"/>
  <c r="A211" i="1"/>
  <c r="F210" i="1"/>
  <c r="E210" i="1"/>
  <c r="D210" i="1"/>
  <c r="C210" i="1"/>
  <c r="B210" i="1"/>
  <c r="A210" i="1"/>
  <c r="F209" i="1"/>
  <c r="E209" i="1"/>
  <c r="D209" i="1"/>
  <c r="C209" i="1"/>
  <c r="B209" i="1"/>
  <c r="A209" i="1"/>
  <c r="F208" i="1"/>
  <c r="E208" i="1"/>
  <c r="D208" i="1"/>
  <c r="C208" i="1"/>
  <c r="B208" i="1"/>
  <c r="A208" i="1"/>
  <c r="F207" i="1"/>
  <c r="E207" i="1"/>
  <c r="D207" i="1"/>
  <c r="C207" i="1"/>
  <c r="B207" i="1"/>
  <c r="A207" i="1"/>
  <c r="F206" i="1"/>
  <c r="E206" i="1"/>
  <c r="D206" i="1"/>
  <c r="C206" i="1"/>
  <c r="B206" i="1"/>
  <c r="A206" i="1"/>
  <c r="F205" i="1"/>
  <c r="E205" i="1"/>
  <c r="D205" i="1"/>
  <c r="C205" i="1"/>
  <c r="B205" i="1"/>
  <c r="A205" i="1"/>
  <c r="F204" i="1"/>
  <c r="E204" i="1"/>
  <c r="D204" i="1"/>
  <c r="C204" i="1"/>
  <c r="B204" i="1"/>
  <c r="A204" i="1"/>
  <c r="F203" i="1"/>
  <c r="E203" i="1"/>
  <c r="D203" i="1"/>
  <c r="C203" i="1"/>
  <c r="B203" i="1"/>
  <c r="A203" i="1"/>
  <c r="F202" i="1"/>
  <c r="E202" i="1"/>
  <c r="D202" i="1"/>
  <c r="C202" i="1"/>
  <c r="B202" i="1"/>
  <c r="A202" i="1"/>
  <c r="F201" i="1"/>
  <c r="E201" i="1"/>
  <c r="D201" i="1"/>
  <c r="C201" i="1"/>
  <c r="B201" i="1"/>
  <c r="A201" i="1"/>
  <c r="F200" i="1"/>
  <c r="E200" i="1"/>
  <c r="D200" i="1"/>
  <c r="C200" i="1"/>
  <c r="B200" i="1"/>
  <c r="A200" i="1"/>
  <c r="F199" i="1"/>
  <c r="E199" i="1"/>
  <c r="D199" i="1"/>
  <c r="C199" i="1"/>
  <c r="B199" i="1"/>
  <c r="A199" i="1"/>
  <c r="F198" i="1"/>
  <c r="E198" i="1"/>
  <c r="D198" i="1"/>
  <c r="C198" i="1"/>
  <c r="B198" i="1"/>
  <c r="A198" i="1"/>
  <c r="F197" i="1"/>
  <c r="E197" i="1"/>
  <c r="D197" i="1"/>
  <c r="C197" i="1"/>
  <c r="B197" i="1"/>
  <c r="A197" i="1"/>
  <c r="F196" i="1"/>
  <c r="E196" i="1"/>
  <c r="D196" i="1"/>
  <c r="C196" i="1"/>
  <c r="B196" i="1"/>
  <c r="A196" i="1"/>
  <c r="F195" i="1"/>
  <c r="E195" i="1"/>
  <c r="D195" i="1"/>
  <c r="C195" i="1"/>
  <c r="B195" i="1"/>
  <c r="A195" i="1"/>
  <c r="F194" i="1"/>
  <c r="E194" i="1"/>
  <c r="D194" i="1"/>
  <c r="C194" i="1"/>
  <c r="B194" i="1"/>
  <c r="A194" i="1"/>
  <c r="F193" i="1"/>
  <c r="E193" i="1"/>
  <c r="D193" i="1"/>
  <c r="C193" i="1"/>
  <c r="B193" i="1"/>
  <c r="A193" i="1"/>
  <c r="F192" i="1"/>
  <c r="E192" i="1"/>
  <c r="D192" i="1"/>
  <c r="C192" i="1"/>
  <c r="B192" i="1"/>
  <c r="A192" i="1"/>
  <c r="F191" i="1"/>
  <c r="E191" i="1"/>
  <c r="D191" i="1"/>
  <c r="C191" i="1"/>
  <c r="B191" i="1"/>
  <c r="A191" i="1"/>
  <c r="F190" i="1"/>
  <c r="E190" i="1"/>
  <c r="D190" i="1"/>
  <c r="C190" i="1"/>
  <c r="B190" i="1"/>
  <c r="A190" i="1"/>
  <c r="F189" i="1"/>
  <c r="E189" i="1"/>
  <c r="D189" i="1"/>
  <c r="C189" i="1"/>
  <c r="B189" i="1"/>
  <c r="A189" i="1"/>
  <c r="F188" i="1"/>
  <c r="E188" i="1"/>
  <c r="D188" i="1"/>
  <c r="C188" i="1"/>
  <c r="B188" i="1"/>
  <c r="A188" i="1"/>
  <c r="F187" i="1"/>
  <c r="E187" i="1"/>
  <c r="D187" i="1"/>
  <c r="C187" i="1"/>
  <c r="B187" i="1"/>
  <c r="A187" i="1"/>
  <c r="F186" i="1"/>
  <c r="E186" i="1"/>
  <c r="D186" i="1"/>
  <c r="C186" i="1"/>
  <c r="B186" i="1"/>
  <c r="A186" i="1"/>
  <c r="F185" i="1"/>
  <c r="E185" i="1"/>
  <c r="D185" i="1"/>
  <c r="C185" i="1"/>
  <c r="B185" i="1"/>
  <c r="A185" i="1"/>
  <c r="F184" i="1"/>
  <c r="E184" i="1"/>
  <c r="D184" i="1"/>
  <c r="C184" i="1"/>
  <c r="B184" i="1"/>
  <c r="A184" i="1"/>
  <c r="F183" i="1"/>
  <c r="E183" i="1"/>
  <c r="D183" i="1"/>
  <c r="C183" i="1"/>
  <c r="B183" i="1"/>
  <c r="A183" i="1"/>
  <c r="F182" i="1"/>
  <c r="E182" i="1"/>
  <c r="D182" i="1"/>
  <c r="C182" i="1"/>
  <c r="B182" i="1"/>
  <c r="A182" i="1"/>
  <c r="F181" i="1"/>
  <c r="E181" i="1"/>
  <c r="D181" i="1"/>
  <c r="C181" i="1"/>
  <c r="B181" i="1"/>
  <c r="A181" i="1"/>
  <c r="F180" i="1"/>
  <c r="E180" i="1"/>
  <c r="D180" i="1"/>
  <c r="C180" i="1"/>
  <c r="B180" i="1"/>
  <c r="A180" i="1"/>
  <c r="F179" i="1"/>
  <c r="E179" i="1"/>
  <c r="D179" i="1"/>
  <c r="C179" i="1"/>
  <c r="B179" i="1"/>
  <c r="A179" i="1"/>
  <c r="F178" i="1"/>
  <c r="E178" i="1"/>
  <c r="D178" i="1"/>
  <c r="C178" i="1"/>
  <c r="B178" i="1"/>
  <c r="A178" i="1"/>
  <c r="F177" i="1"/>
  <c r="E177" i="1"/>
  <c r="D177" i="1"/>
  <c r="C177" i="1"/>
  <c r="B177" i="1"/>
  <c r="A177" i="1"/>
  <c r="F176" i="1"/>
  <c r="E176" i="1"/>
  <c r="D176" i="1"/>
  <c r="C176" i="1"/>
  <c r="B176" i="1"/>
  <c r="A176" i="1"/>
  <c r="F175" i="1"/>
  <c r="E175" i="1"/>
  <c r="D175" i="1"/>
  <c r="C175" i="1"/>
  <c r="B175" i="1"/>
  <c r="A175" i="1"/>
  <c r="F174" i="1"/>
  <c r="E174" i="1"/>
  <c r="D174" i="1"/>
  <c r="C174" i="1"/>
  <c r="B174" i="1"/>
  <c r="A174" i="1"/>
  <c r="F173" i="1"/>
  <c r="E173" i="1"/>
  <c r="D173" i="1"/>
  <c r="C173" i="1"/>
  <c r="B173" i="1"/>
  <c r="A173" i="1"/>
  <c r="F172" i="1"/>
  <c r="E172" i="1"/>
  <c r="D172" i="1"/>
  <c r="C172" i="1"/>
  <c r="B172" i="1"/>
  <c r="A172" i="1"/>
  <c r="F171" i="1"/>
  <c r="E171" i="1"/>
  <c r="D171" i="1"/>
  <c r="C171" i="1"/>
  <c r="B171" i="1"/>
  <c r="A171" i="1"/>
  <c r="F170" i="1"/>
  <c r="E170" i="1"/>
  <c r="D170" i="1"/>
  <c r="C170" i="1"/>
  <c r="B170" i="1"/>
  <c r="A170" i="1"/>
  <c r="F169" i="1"/>
  <c r="E169" i="1"/>
  <c r="D169" i="1"/>
  <c r="C169" i="1"/>
  <c r="B169" i="1"/>
  <c r="A169" i="1"/>
  <c r="F168" i="1"/>
  <c r="E168" i="1"/>
  <c r="D168" i="1"/>
  <c r="C168" i="1"/>
  <c r="B168" i="1"/>
  <c r="A168" i="1"/>
  <c r="F167" i="1"/>
  <c r="E167" i="1"/>
  <c r="D167" i="1"/>
  <c r="C167" i="1"/>
  <c r="B167" i="1"/>
  <c r="A167" i="1"/>
  <c r="F166" i="1"/>
  <c r="E166" i="1"/>
  <c r="D166" i="1"/>
  <c r="C166" i="1"/>
  <c r="B166" i="1"/>
  <c r="A166" i="1"/>
  <c r="F165" i="1"/>
  <c r="E165" i="1"/>
  <c r="D165" i="1"/>
  <c r="C165" i="1"/>
  <c r="B165" i="1"/>
  <c r="A165" i="1"/>
  <c r="F164" i="1"/>
  <c r="E164" i="1"/>
  <c r="D164" i="1"/>
  <c r="C164" i="1"/>
  <c r="B164" i="1"/>
  <c r="A164" i="1"/>
  <c r="F163" i="1"/>
  <c r="E163" i="1"/>
  <c r="D163" i="1"/>
  <c r="C163" i="1"/>
  <c r="B163" i="1"/>
  <c r="A163" i="1"/>
  <c r="F162" i="1"/>
  <c r="E162" i="1"/>
  <c r="D162" i="1"/>
  <c r="C162" i="1"/>
  <c r="B162" i="1"/>
  <c r="A162" i="1"/>
  <c r="F161" i="1"/>
  <c r="E161" i="1"/>
  <c r="D161" i="1"/>
  <c r="C161" i="1"/>
  <c r="B161" i="1"/>
  <c r="A161" i="1"/>
  <c r="F160" i="1"/>
  <c r="E160" i="1"/>
  <c r="D160" i="1"/>
  <c r="C160" i="1"/>
  <c r="B160" i="1"/>
  <c r="A160" i="1"/>
  <c r="F159" i="1"/>
  <c r="E159" i="1"/>
  <c r="D159" i="1"/>
  <c r="C159" i="1"/>
  <c r="B159" i="1"/>
  <c r="A159" i="1"/>
  <c r="F158" i="1"/>
  <c r="E158" i="1"/>
  <c r="D158" i="1"/>
  <c r="C158" i="1"/>
  <c r="B158" i="1"/>
  <c r="A158" i="1"/>
  <c r="F157" i="1"/>
  <c r="E157" i="1"/>
  <c r="D157" i="1"/>
  <c r="C157" i="1"/>
  <c r="B157" i="1"/>
  <c r="A157" i="1"/>
  <c r="F156" i="1"/>
  <c r="E156" i="1"/>
  <c r="D156" i="1"/>
  <c r="C156" i="1"/>
  <c r="B156" i="1"/>
  <c r="A156" i="1"/>
  <c r="F155" i="1"/>
  <c r="E155" i="1"/>
  <c r="D155" i="1"/>
  <c r="C155" i="1"/>
  <c r="B155" i="1"/>
  <c r="A155" i="1"/>
  <c r="F154" i="1"/>
  <c r="E154" i="1"/>
  <c r="D154" i="1"/>
  <c r="C154" i="1"/>
  <c r="B154" i="1"/>
  <c r="A154" i="1"/>
  <c r="F153" i="1"/>
  <c r="E153" i="1"/>
  <c r="D153" i="1"/>
  <c r="C153" i="1"/>
  <c r="B153" i="1"/>
  <c r="A153" i="1"/>
  <c r="F152" i="1"/>
  <c r="E152" i="1"/>
  <c r="D152" i="1"/>
  <c r="C152" i="1"/>
  <c r="B152" i="1"/>
  <c r="A152" i="1"/>
  <c r="F151" i="1"/>
  <c r="E151" i="1"/>
  <c r="D151" i="1"/>
  <c r="C151" i="1"/>
  <c r="B151" i="1"/>
  <c r="A151" i="1"/>
  <c r="F150" i="1"/>
  <c r="E150" i="1"/>
  <c r="D150" i="1"/>
  <c r="C150" i="1"/>
  <c r="B150" i="1"/>
  <c r="A150" i="1"/>
  <c r="F149" i="1"/>
  <c r="E149" i="1"/>
  <c r="D149" i="1"/>
  <c r="C149" i="1"/>
  <c r="B149" i="1"/>
  <c r="A149" i="1"/>
  <c r="F148" i="1"/>
  <c r="E148" i="1"/>
  <c r="D148" i="1"/>
  <c r="C148" i="1"/>
  <c r="B148" i="1"/>
  <c r="A148" i="1"/>
  <c r="F147" i="1"/>
  <c r="E147" i="1"/>
  <c r="D147" i="1"/>
  <c r="C147" i="1"/>
  <c r="B147" i="1"/>
  <c r="A147" i="1"/>
  <c r="F146" i="1"/>
  <c r="E146" i="1"/>
  <c r="D146" i="1"/>
  <c r="C146" i="1"/>
  <c r="B146" i="1"/>
  <c r="A146" i="1"/>
  <c r="F145" i="1"/>
  <c r="E145" i="1"/>
  <c r="D145" i="1"/>
  <c r="C145" i="1"/>
  <c r="B145" i="1"/>
  <c r="A145" i="1"/>
  <c r="F144" i="1"/>
  <c r="E144" i="1"/>
  <c r="D144" i="1"/>
  <c r="C144" i="1"/>
  <c r="B144" i="1"/>
  <c r="A144" i="1"/>
  <c r="F143" i="1"/>
  <c r="E143" i="1"/>
  <c r="D143" i="1"/>
  <c r="C143" i="1"/>
  <c r="B143" i="1"/>
  <c r="A143" i="1"/>
  <c r="F142" i="1"/>
  <c r="E142" i="1"/>
  <c r="D142" i="1"/>
  <c r="C142" i="1"/>
  <c r="B142" i="1"/>
  <c r="A142" i="1"/>
  <c r="F141" i="1"/>
  <c r="E141" i="1"/>
  <c r="D141" i="1"/>
  <c r="C141" i="1"/>
  <c r="B141" i="1"/>
  <c r="A141" i="1"/>
  <c r="F140" i="1"/>
  <c r="E140" i="1"/>
  <c r="D140" i="1"/>
  <c r="C140" i="1"/>
  <c r="B140" i="1"/>
  <c r="A140" i="1"/>
  <c r="F139" i="1"/>
  <c r="E139" i="1"/>
  <c r="D139" i="1"/>
  <c r="C139" i="1"/>
  <c r="B139" i="1"/>
  <c r="A139" i="1"/>
  <c r="F138" i="1"/>
  <c r="E138" i="1"/>
  <c r="D138" i="1"/>
  <c r="C138" i="1"/>
  <c r="B138" i="1"/>
  <c r="A138" i="1"/>
  <c r="F137" i="1"/>
  <c r="E137" i="1"/>
  <c r="D137" i="1"/>
  <c r="C137" i="1"/>
  <c r="B137" i="1"/>
  <c r="A137" i="1"/>
  <c r="F136" i="1"/>
  <c r="E136" i="1"/>
  <c r="D136" i="1"/>
  <c r="C136" i="1"/>
  <c r="B136" i="1"/>
  <c r="A136" i="1"/>
  <c r="F135" i="1"/>
  <c r="E135" i="1"/>
  <c r="D135" i="1"/>
  <c r="C135" i="1"/>
  <c r="B135" i="1"/>
  <c r="A135" i="1"/>
  <c r="F134" i="1"/>
  <c r="E134" i="1"/>
  <c r="D134" i="1"/>
  <c r="C134" i="1"/>
  <c r="B134" i="1"/>
  <c r="A134" i="1"/>
  <c r="F133" i="1"/>
  <c r="E133" i="1"/>
  <c r="D133" i="1"/>
  <c r="C133" i="1"/>
  <c r="B133" i="1"/>
  <c r="A133" i="1"/>
  <c r="F132" i="1"/>
  <c r="E132" i="1"/>
  <c r="D132" i="1"/>
  <c r="C132" i="1"/>
  <c r="B132" i="1"/>
  <c r="A132" i="1"/>
  <c r="F131" i="1"/>
  <c r="E131" i="1"/>
  <c r="D131" i="1"/>
  <c r="C131" i="1"/>
  <c r="B131" i="1"/>
  <c r="A131" i="1"/>
  <c r="F130" i="1"/>
  <c r="E130" i="1"/>
  <c r="D130" i="1"/>
  <c r="C130" i="1"/>
  <c r="B130" i="1"/>
  <c r="A130" i="1"/>
  <c r="F129" i="1"/>
  <c r="E129" i="1"/>
  <c r="D129" i="1"/>
  <c r="C129" i="1"/>
  <c r="B129" i="1"/>
  <c r="A129" i="1"/>
  <c r="F128" i="1"/>
  <c r="E128" i="1"/>
  <c r="D128" i="1"/>
  <c r="C128" i="1"/>
  <c r="B128" i="1"/>
  <c r="A128" i="1"/>
  <c r="F127" i="1"/>
  <c r="E127" i="1"/>
  <c r="D127" i="1"/>
  <c r="C127" i="1"/>
  <c r="B127" i="1"/>
  <c r="A127" i="1"/>
  <c r="F126" i="1"/>
  <c r="E126" i="1"/>
  <c r="D126" i="1"/>
  <c r="C126" i="1"/>
  <c r="B126" i="1"/>
  <c r="A126" i="1"/>
  <c r="F125" i="1"/>
  <c r="E125" i="1"/>
  <c r="D125" i="1"/>
  <c r="C125" i="1"/>
  <c r="B125" i="1"/>
  <c r="A125" i="1"/>
  <c r="F124" i="1"/>
  <c r="E124" i="1"/>
  <c r="D124" i="1"/>
  <c r="C124" i="1"/>
  <c r="B124" i="1"/>
  <c r="A124" i="1"/>
  <c r="F123" i="1"/>
  <c r="E123" i="1"/>
  <c r="D123" i="1"/>
  <c r="C123" i="1"/>
  <c r="B123" i="1"/>
  <c r="A123" i="1"/>
  <c r="F122" i="1"/>
  <c r="E122" i="1"/>
  <c r="D122" i="1"/>
  <c r="C122" i="1"/>
  <c r="B122" i="1"/>
  <c r="A122" i="1"/>
  <c r="F121" i="1"/>
  <c r="E121" i="1"/>
  <c r="D121" i="1"/>
  <c r="C121" i="1"/>
  <c r="B121" i="1"/>
  <c r="A121" i="1"/>
  <c r="F120" i="1"/>
  <c r="E120" i="1"/>
  <c r="D120" i="1"/>
  <c r="C120" i="1"/>
  <c r="B120" i="1"/>
  <c r="A120" i="1"/>
  <c r="F119" i="1"/>
  <c r="E119" i="1"/>
  <c r="D119" i="1"/>
  <c r="C119" i="1"/>
  <c r="B119" i="1"/>
  <c r="A119" i="1"/>
  <c r="F118" i="1"/>
  <c r="E118" i="1"/>
  <c r="D118" i="1"/>
  <c r="C118" i="1"/>
  <c r="B118" i="1"/>
  <c r="A118" i="1"/>
  <c r="F117" i="1"/>
  <c r="E117" i="1"/>
  <c r="D117" i="1"/>
  <c r="C117" i="1"/>
  <c r="B117" i="1"/>
  <c r="A117" i="1"/>
  <c r="F116" i="1"/>
  <c r="E116" i="1"/>
  <c r="D116" i="1"/>
  <c r="C116" i="1"/>
  <c r="B116" i="1"/>
  <c r="A116" i="1"/>
  <c r="F115" i="1"/>
  <c r="E115" i="1"/>
  <c r="D115" i="1"/>
  <c r="C115" i="1"/>
  <c r="B115" i="1"/>
  <c r="A115" i="1"/>
  <c r="F114" i="1"/>
  <c r="E114" i="1"/>
  <c r="D114" i="1"/>
  <c r="C114" i="1"/>
  <c r="B114" i="1"/>
  <c r="A114" i="1"/>
  <c r="F113" i="1"/>
  <c r="E113" i="1"/>
  <c r="D113" i="1"/>
  <c r="C113" i="1"/>
  <c r="B113" i="1"/>
  <c r="A113" i="1"/>
  <c r="F112" i="1"/>
  <c r="E112" i="1"/>
  <c r="D112" i="1"/>
  <c r="C112" i="1"/>
  <c r="B112" i="1"/>
  <c r="A112" i="1"/>
  <c r="F111" i="1"/>
  <c r="E111" i="1"/>
  <c r="D111" i="1"/>
  <c r="C111" i="1"/>
  <c r="B111" i="1"/>
  <c r="A111" i="1"/>
  <c r="F110" i="1"/>
  <c r="E110" i="1"/>
  <c r="D110" i="1"/>
  <c r="C110" i="1"/>
  <c r="B110" i="1"/>
  <c r="A110" i="1"/>
  <c r="F109" i="1"/>
  <c r="E109" i="1"/>
  <c r="D109" i="1"/>
  <c r="C109" i="1"/>
  <c r="B109" i="1"/>
  <c r="A109" i="1"/>
  <c r="F108" i="1"/>
  <c r="E108" i="1"/>
  <c r="D108" i="1"/>
  <c r="C108" i="1"/>
  <c r="B108" i="1"/>
  <c r="A108" i="1"/>
  <c r="F107" i="1"/>
  <c r="E107" i="1"/>
  <c r="D107" i="1"/>
  <c r="C107" i="1"/>
  <c r="B107" i="1"/>
  <c r="A107" i="1"/>
  <c r="F106" i="1"/>
  <c r="E106" i="1"/>
  <c r="D106" i="1"/>
  <c r="C106" i="1"/>
  <c r="B106" i="1"/>
  <c r="A106" i="1"/>
  <c r="F105" i="1"/>
  <c r="E105" i="1"/>
  <c r="D105" i="1"/>
  <c r="C105" i="1"/>
  <c r="B105" i="1"/>
  <c r="A105" i="1"/>
  <c r="F104" i="1"/>
  <c r="E104" i="1"/>
  <c r="D104" i="1"/>
  <c r="C104" i="1"/>
  <c r="B104" i="1"/>
  <c r="A104" i="1"/>
  <c r="F103" i="1"/>
  <c r="E103" i="1"/>
  <c r="D103" i="1"/>
  <c r="C103" i="1"/>
  <c r="B103" i="1"/>
  <c r="A103" i="1"/>
  <c r="F102" i="1"/>
  <c r="E102" i="1"/>
  <c r="D102" i="1"/>
  <c r="C102" i="1"/>
  <c r="B102" i="1"/>
  <c r="A102" i="1"/>
  <c r="F101" i="1"/>
  <c r="E101" i="1"/>
  <c r="D101" i="1"/>
  <c r="C101" i="1"/>
  <c r="B101" i="1"/>
  <c r="A101" i="1"/>
  <c r="F100" i="1"/>
  <c r="E100" i="1"/>
  <c r="D100" i="1"/>
  <c r="C100" i="1"/>
  <c r="B100" i="1"/>
  <c r="A100" i="1"/>
  <c r="F99" i="1"/>
  <c r="E99" i="1"/>
  <c r="D99" i="1"/>
  <c r="C99" i="1"/>
  <c r="B99" i="1"/>
  <c r="A99" i="1"/>
  <c r="F98" i="1"/>
  <c r="E98" i="1"/>
  <c r="D98" i="1"/>
  <c r="C98" i="1"/>
  <c r="B98" i="1"/>
  <c r="A98" i="1"/>
  <c r="F97" i="1"/>
  <c r="E97" i="1"/>
  <c r="D97" i="1"/>
  <c r="C97" i="1"/>
  <c r="B97" i="1"/>
  <c r="A97" i="1"/>
  <c r="F96" i="1"/>
  <c r="E96" i="1"/>
  <c r="D96" i="1"/>
  <c r="C96" i="1"/>
  <c r="B96" i="1"/>
  <c r="A96" i="1"/>
  <c r="F95" i="1"/>
  <c r="E95" i="1"/>
  <c r="D95" i="1"/>
  <c r="C95" i="1"/>
  <c r="B95" i="1"/>
  <c r="A95" i="1"/>
  <c r="F94" i="1"/>
  <c r="E94" i="1"/>
  <c r="D94" i="1"/>
  <c r="C94" i="1"/>
  <c r="B94" i="1"/>
  <c r="A94" i="1"/>
  <c r="F93" i="1"/>
  <c r="E93" i="1"/>
  <c r="D93" i="1"/>
  <c r="C93" i="1"/>
  <c r="B93" i="1"/>
  <c r="A93" i="1"/>
  <c r="F92" i="1"/>
  <c r="E92" i="1"/>
  <c r="D92" i="1"/>
  <c r="C92" i="1"/>
  <c r="B92" i="1"/>
  <c r="A92" i="1"/>
  <c r="F91" i="1"/>
  <c r="E91" i="1"/>
  <c r="D91" i="1"/>
  <c r="C91" i="1"/>
  <c r="B91" i="1"/>
  <c r="A91" i="1"/>
  <c r="F90" i="1"/>
  <c r="E90" i="1"/>
  <c r="D90" i="1"/>
  <c r="C90" i="1"/>
  <c r="B90" i="1"/>
  <c r="A90" i="1"/>
  <c r="F89" i="1"/>
  <c r="E89" i="1"/>
  <c r="D89" i="1"/>
  <c r="C89" i="1"/>
  <c r="B89" i="1"/>
  <c r="A89" i="1"/>
  <c r="F88" i="1"/>
  <c r="E88" i="1"/>
  <c r="D88" i="1"/>
  <c r="C88" i="1"/>
  <c r="B88" i="1"/>
  <c r="A88" i="1"/>
  <c r="F87" i="1"/>
  <c r="E87" i="1"/>
  <c r="D87" i="1"/>
  <c r="C87" i="1"/>
  <c r="B87" i="1"/>
  <c r="A87" i="1"/>
  <c r="F86" i="1"/>
  <c r="E86" i="1"/>
  <c r="D86" i="1"/>
  <c r="C86" i="1"/>
  <c r="B86" i="1"/>
  <c r="A86" i="1"/>
  <c r="F85" i="1"/>
  <c r="E85" i="1"/>
  <c r="D85" i="1"/>
  <c r="C85" i="1"/>
  <c r="B85" i="1"/>
  <c r="A85" i="1"/>
  <c r="F84" i="1"/>
  <c r="E84" i="1"/>
  <c r="D84" i="1"/>
  <c r="C84" i="1"/>
  <c r="B84" i="1"/>
  <c r="A84" i="1"/>
  <c r="F83" i="1"/>
  <c r="E83" i="1"/>
  <c r="D83" i="1"/>
  <c r="C83" i="1"/>
  <c r="B83" i="1"/>
  <c r="A83" i="1"/>
  <c r="F82" i="1"/>
  <c r="E82" i="1"/>
  <c r="D82" i="1"/>
  <c r="C82" i="1"/>
  <c r="B82" i="1"/>
  <c r="A82" i="1"/>
  <c r="F81" i="1"/>
  <c r="E81" i="1"/>
  <c r="D81" i="1"/>
  <c r="C81" i="1"/>
  <c r="B81" i="1"/>
  <c r="A81" i="1"/>
  <c r="F80" i="1"/>
  <c r="E80" i="1"/>
  <c r="D80" i="1"/>
  <c r="C80" i="1"/>
  <c r="B80" i="1"/>
  <c r="A80" i="1"/>
  <c r="F79" i="1"/>
  <c r="E79" i="1"/>
  <c r="D79" i="1"/>
  <c r="C79" i="1"/>
  <c r="B79" i="1"/>
  <c r="A79" i="1"/>
  <c r="F78" i="1"/>
  <c r="E78" i="1"/>
  <c r="D78" i="1"/>
  <c r="C78" i="1"/>
  <c r="B78" i="1"/>
  <c r="A78" i="1"/>
  <c r="F77" i="1"/>
  <c r="E77" i="1"/>
  <c r="D77" i="1"/>
  <c r="C77" i="1"/>
  <c r="B77" i="1"/>
  <c r="A77" i="1"/>
  <c r="F76" i="1"/>
  <c r="E76" i="1"/>
  <c r="D76" i="1"/>
  <c r="C76" i="1"/>
  <c r="B76" i="1"/>
  <c r="A76" i="1"/>
  <c r="F75" i="1"/>
  <c r="E75" i="1"/>
  <c r="D75" i="1"/>
  <c r="C75" i="1"/>
  <c r="B75" i="1"/>
  <c r="A75" i="1"/>
  <c r="F74" i="1"/>
  <c r="E74" i="1"/>
  <c r="D74" i="1"/>
  <c r="C74" i="1"/>
  <c r="B74" i="1"/>
  <c r="A74" i="1"/>
  <c r="F73" i="1"/>
  <c r="E73" i="1"/>
  <c r="D73" i="1"/>
  <c r="C73" i="1"/>
  <c r="B73" i="1"/>
  <c r="A73" i="1"/>
  <c r="F72" i="1"/>
  <c r="E72" i="1"/>
  <c r="D72" i="1"/>
  <c r="C72" i="1"/>
  <c r="B72" i="1"/>
  <c r="A72" i="1"/>
  <c r="F71" i="1"/>
  <c r="E71" i="1"/>
  <c r="D71" i="1"/>
  <c r="C71" i="1"/>
  <c r="B71" i="1"/>
  <c r="A71" i="1"/>
  <c r="F70" i="1"/>
  <c r="E70" i="1"/>
  <c r="D70" i="1"/>
  <c r="C70" i="1"/>
  <c r="B70" i="1"/>
  <c r="A70" i="1"/>
  <c r="F69" i="1"/>
  <c r="E69" i="1"/>
  <c r="D69" i="1"/>
  <c r="C69" i="1"/>
  <c r="B69" i="1"/>
  <c r="A69" i="1"/>
  <c r="F68" i="1"/>
  <c r="E68" i="1"/>
  <c r="D68" i="1"/>
  <c r="C68" i="1"/>
  <c r="B68" i="1"/>
  <c r="A68" i="1"/>
  <c r="F67" i="1"/>
  <c r="E67" i="1"/>
  <c r="D67" i="1"/>
  <c r="C67" i="1"/>
  <c r="B67" i="1"/>
  <c r="A67" i="1"/>
  <c r="F66" i="1"/>
  <c r="E66" i="1"/>
  <c r="D66" i="1"/>
  <c r="C66" i="1"/>
  <c r="B66" i="1"/>
  <c r="A66" i="1"/>
  <c r="F65" i="1"/>
  <c r="E65" i="1"/>
  <c r="D65" i="1"/>
  <c r="C65" i="1"/>
  <c r="B65" i="1"/>
  <c r="A65" i="1"/>
  <c r="F64" i="1"/>
  <c r="E64" i="1"/>
  <c r="D64" i="1"/>
  <c r="C64" i="1"/>
  <c r="B64" i="1"/>
  <c r="A64" i="1"/>
  <c r="F63" i="1"/>
  <c r="E63" i="1"/>
  <c r="D63" i="1"/>
  <c r="C63" i="1"/>
  <c r="B63" i="1"/>
  <c r="A63" i="1"/>
  <c r="F62" i="1"/>
  <c r="E62" i="1"/>
  <c r="D62" i="1"/>
  <c r="C62" i="1"/>
  <c r="B62" i="1"/>
  <c r="A62" i="1"/>
  <c r="F61" i="1"/>
  <c r="E61" i="1"/>
  <c r="D61" i="1"/>
  <c r="C61" i="1"/>
  <c r="B61" i="1"/>
  <c r="A61" i="1"/>
  <c r="F60" i="1"/>
  <c r="E60" i="1"/>
  <c r="D60" i="1"/>
  <c r="C60" i="1"/>
  <c r="B60" i="1"/>
  <c r="A60" i="1"/>
  <c r="F59" i="1"/>
  <c r="E59" i="1"/>
  <c r="D59" i="1"/>
  <c r="C59" i="1"/>
  <c r="B59" i="1"/>
  <c r="A59" i="1"/>
  <c r="F58" i="1"/>
  <c r="E58" i="1"/>
  <c r="D58" i="1"/>
  <c r="C58" i="1"/>
  <c r="B58" i="1"/>
  <c r="A58" i="1"/>
  <c r="F57" i="1"/>
  <c r="E57" i="1"/>
  <c r="D57" i="1"/>
  <c r="C57" i="1"/>
  <c r="B57" i="1"/>
  <c r="A57" i="1"/>
  <c r="F56" i="1"/>
  <c r="E56" i="1"/>
  <c r="D56" i="1"/>
  <c r="C56" i="1"/>
  <c r="B56" i="1"/>
  <c r="A56" i="1"/>
  <c r="F55" i="1"/>
  <c r="E55" i="1"/>
  <c r="D55" i="1"/>
  <c r="C55" i="1"/>
  <c r="B55" i="1"/>
  <c r="A55" i="1"/>
  <c r="F54" i="1"/>
  <c r="E54" i="1"/>
  <c r="D54" i="1"/>
  <c r="C54" i="1"/>
  <c r="B54" i="1"/>
  <c r="A54" i="1"/>
  <c r="F53" i="1"/>
  <c r="E53" i="1"/>
  <c r="D53" i="1"/>
  <c r="C53" i="1"/>
  <c r="B53" i="1"/>
  <c r="A53" i="1"/>
  <c r="F52" i="1"/>
  <c r="E52" i="1"/>
  <c r="D52" i="1"/>
  <c r="C52" i="1"/>
  <c r="B52" i="1"/>
  <c r="A52" i="1"/>
  <c r="F51" i="1"/>
  <c r="E51" i="1"/>
  <c r="D51" i="1"/>
  <c r="C51" i="1"/>
  <c r="B51" i="1"/>
  <c r="A51" i="1"/>
  <c r="F50" i="1"/>
  <c r="E50" i="1"/>
  <c r="D50" i="1"/>
  <c r="C50" i="1"/>
  <c r="B50" i="1"/>
  <c r="A50" i="1"/>
  <c r="F49" i="1"/>
  <c r="E49" i="1"/>
  <c r="D49" i="1"/>
  <c r="C49" i="1"/>
  <c r="B49" i="1"/>
  <c r="A49" i="1"/>
  <c r="F48" i="1"/>
  <c r="E48" i="1"/>
  <c r="D48" i="1"/>
  <c r="C48" i="1"/>
  <c r="B48" i="1"/>
  <c r="A48" i="1"/>
  <c r="F47" i="1"/>
  <c r="E47" i="1"/>
  <c r="D47" i="1"/>
  <c r="C47" i="1"/>
  <c r="B47" i="1"/>
  <c r="A47" i="1"/>
  <c r="F46" i="1"/>
  <c r="E46" i="1"/>
  <c r="D46" i="1"/>
  <c r="C46" i="1"/>
  <c r="B46" i="1"/>
  <c r="A46" i="1"/>
  <c r="F45" i="1"/>
  <c r="E45" i="1"/>
  <c r="D45" i="1"/>
  <c r="C45" i="1"/>
  <c r="B45" i="1"/>
  <c r="A45" i="1"/>
  <c r="F44" i="1"/>
  <c r="E44" i="1"/>
  <c r="D44" i="1"/>
  <c r="C44" i="1"/>
  <c r="B44" i="1"/>
  <c r="A44" i="1"/>
  <c r="F43" i="1"/>
  <c r="E43" i="1"/>
  <c r="D43" i="1"/>
  <c r="C43" i="1"/>
  <c r="B43" i="1"/>
  <c r="A43" i="1"/>
  <c r="F42" i="1"/>
  <c r="E42" i="1"/>
  <c r="D42" i="1"/>
  <c r="C42" i="1"/>
  <c r="B42" i="1"/>
  <c r="A42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R41" i="1"/>
  <c r="Q41" i="1"/>
  <c r="P41" i="1"/>
  <c r="O41" i="1"/>
  <c r="N41" i="1"/>
  <c r="M41" i="1"/>
  <c r="L41" i="1"/>
  <c r="K41" i="1"/>
  <c r="J41" i="1"/>
  <c r="I41" i="1"/>
  <c r="H41" i="1"/>
  <c r="G41" i="1"/>
  <c r="E41" i="1" s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R40" i="1"/>
  <c r="Q40" i="1"/>
  <c r="P40" i="1"/>
  <c r="O40" i="1"/>
  <c r="N40" i="1"/>
  <c r="M40" i="1"/>
  <c r="L40" i="1"/>
  <c r="K40" i="1"/>
  <c r="J40" i="1"/>
  <c r="I40" i="1"/>
  <c r="H40" i="1"/>
  <c r="G40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R39" i="1"/>
  <c r="Q39" i="1"/>
  <c r="P39" i="1"/>
  <c r="O39" i="1"/>
  <c r="N39" i="1"/>
  <c r="M39" i="1"/>
  <c r="L39" i="1"/>
  <c r="K39" i="1"/>
  <c r="J39" i="1"/>
  <c r="I39" i="1"/>
  <c r="H39" i="1"/>
  <c r="G39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R38" i="1"/>
  <c r="Q38" i="1"/>
  <c r="P38" i="1"/>
  <c r="O38" i="1"/>
  <c r="N38" i="1"/>
  <c r="M38" i="1"/>
  <c r="L38" i="1"/>
  <c r="K38" i="1"/>
  <c r="J38" i="1"/>
  <c r="I38" i="1"/>
  <c r="H38" i="1"/>
  <c r="G38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R37" i="1"/>
  <c r="Q37" i="1"/>
  <c r="P37" i="1"/>
  <c r="O37" i="1"/>
  <c r="N37" i="1"/>
  <c r="M37" i="1"/>
  <c r="L37" i="1"/>
  <c r="K37" i="1"/>
  <c r="J37" i="1"/>
  <c r="I37" i="1"/>
  <c r="H37" i="1"/>
  <c r="G37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R36" i="1"/>
  <c r="Q36" i="1"/>
  <c r="P36" i="1"/>
  <c r="O36" i="1"/>
  <c r="N36" i="1"/>
  <c r="M36" i="1"/>
  <c r="L36" i="1"/>
  <c r="K36" i="1"/>
  <c r="J36" i="1"/>
  <c r="I36" i="1"/>
  <c r="H36" i="1"/>
  <c r="G36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R35" i="1"/>
  <c r="Q35" i="1"/>
  <c r="P35" i="1"/>
  <c r="O35" i="1"/>
  <c r="N35" i="1"/>
  <c r="M35" i="1"/>
  <c r="L35" i="1"/>
  <c r="K35" i="1"/>
  <c r="J35" i="1"/>
  <c r="I35" i="1"/>
  <c r="H35" i="1"/>
  <c r="G35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R34" i="1"/>
  <c r="Q34" i="1"/>
  <c r="P34" i="1"/>
  <c r="O34" i="1"/>
  <c r="N34" i="1"/>
  <c r="M34" i="1"/>
  <c r="L34" i="1"/>
  <c r="K34" i="1"/>
  <c r="J34" i="1"/>
  <c r="I34" i="1"/>
  <c r="H34" i="1"/>
  <c r="G34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 s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R32" i="1"/>
  <c r="Q32" i="1"/>
  <c r="P32" i="1"/>
  <c r="O32" i="1"/>
  <c r="N32" i="1"/>
  <c r="M32" i="1"/>
  <c r="L32" i="1"/>
  <c r="K32" i="1"/>
  <c r="J32" i="1"/>
  <c r="I32" i="1"/>
  <c r="H32" i="1"/>
  <c r="G32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R31" i="1"/>
  <c r="Q31" i="1"/>
  <c r="P31" i="1"/>
  <c r="O31" i="1"/>
  <c r="N31" i="1"/>
  <c r="M31" i="1"/>
  <c r="L31" i="1"/>
  <c r="K31" i="1"/>
  <c r="J31" i="1"/>
  <c r="I31" i="1"/>
  <c r="H31" i="1"/>
  <c r="G31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R30" i="1"/>
  <c r="Q30" i="1"/>
  <c r="P30" i="1"/>
  <c r="O30" i="1"/>
  <c r="N30" i="1"/>
  <c r="M30" i="1"/>
  <c r="L30" i="1"/>
  <c r="K30" i="1"/>
  <c r="J30" i="1"/>
  <c r="I30" i="1"/>
  <c r="H30" i="1"/>
  <c r="G30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R29" i="1"/>
  <c r="Q29" i="1"/>
  <c r="P29" i="1"/>
  <c r="O29" i="1"/>
  <c r="N29" i="1"/>
  <c r="M29" i="1"/>
  <c r="L29" i="1"/>
  <c r="K29" i="1"/>
  <c r="J29" i="1"/>
  <c r="I29" i="1"/>
  <c r="H29" i="1"/>
  <c r="G29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 s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R27" i="1"/>
  <c r="Q27" i="1"/>
  <c r="P27" i="1"/>
  <c r="O27" i="1"/>
  <c r="N27" i="1"/>
  <c r="M27" i="1"/>
  <c r="L27" i="1"/>
  <c r="K27" i="1"/>
  <c r="J27" i="1"/>
  <c r="I27" i="1"/>
  <c r="H27" i="1"/>
  <c r="G27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R26" i="1"/>
  <c r="Q26" i="1"/>
  <c r="P26" i="1"/>
  <c r="O26" i="1"/>
  <c r="N26" i="1"/>
  <c r="M26" i="1"/>
  <c r="L26" i="1"/>
  <c r="K26" i="1"/>
  <c r="J26" i="1"/>
  <c r="I26" i="1"/>
  <c r="H26" i="1"/>
  <c r="G26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R25" i="1"/>
  <c r="Q25" i="1"/>
  <c r="P25" i="1"/>
  <c r="O25" i="1"/>
  <c r="N25" i="1"/>
  <c r="M25" i="1"/>
  <c r="L25" i="1"/>
  <c r="K25" i="1"/>
  <c r="J25" i="1"/>
  <c r="I25" i="1"/>
  <c r="H25" i="1"/>
  <c r="G25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R24" i="1"/>
  <c r="Q24" i="1"/>
  <c r="P24" i="1"/>
  <c r="O24" i="1"/>
  <c r="N24" i="1"/>
  <c r="M24" i="1"/>
  <c r="L24" i="1"/>
  <c r="K24" i="1"/>
  <c r="J24" i="1"/>
  <c r="I24" i="1"/>
  <c r="H24" i="1"/>
  <c r="G24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R23" i="1"/>
  <c r="Q23" i="1"/>
  <c r="P23" i="1"/>
  <c r="O23" i="1"/>
  <c r="N23" i="1"/>
  <c r="M23" i="1"/>
  <c r="L23" i="1"/>
  <c r="K23" i="1"/>
  <c r="J23" i="1"/>
  <c r="I23" i="1"/>
  <c r="H23" i="1"/>
  <c r="G23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R22" i="1"/>
  <c r="Q22" i="1"/>
  <c r="P22" i="1"/>
  <c r="O22" i="1"/>
  <c r="N22" i="1"/>
  <c r="M22" i="1"/>
  <c r="L22" i="1"/>
  <c r="K22" i="1"/>
  <c r="J22" i="1"/>
  <c r="I22" i="1"/>
  <c r="H22" i="1"/>
  <c r="G22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R21" i="1"/>
  <c r="Q21" i="1"/>
  <c r="P21" i="1"/>
  <c r="O21" i="1"/>
  <c r="N21" i="1"/>
  <c r="A21" i="1" s="1"/>
  <c r="M21" i="1"/>
  <c r="L21" i="1"/>
  <c r="K21" i="1"/>
  <c r="J21" i="1"/>
  <c r="I21" i="1"/>
  <c r="H21" i="1"/>
  <c r="G21" i="1"/>
  <c r="C21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R20" i="1"/>
  <c r="Q20" i="1"/>
  <c r="P20" i="1"/>
  <c r="O20" i="1"/>
  <c r="N20" i="1"/>
  <c r="M20" i="1"/>
  <c r="L20" i="1"/>
  <c r="K20" i="1"/>
  <c r="J20" i="1"/>
  <c r="I20" i="1"/>
  <c r="H20" i="1"/>
  <c r="G20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R19" i="1"/>
  <c r="Q19" i="1"/>
  <c r="P19" i="1"/>
  <c r="O19" i="1"/>
  <c r="N19" i="1"/>
  <c r="M19" i="1"/>
  <c r="L19" i="1"/>
  <c r="K19" i="1"/>
  <c r="J19" i="1"/>
  <c r="I19" i="1"/>
  <c r="H19" i="1"/>
  <c r="G19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R18" i="1"/>
  <c r="Q18" i="1"/>
  <c r="P18" i="1"/>
  <c r="O18" i="1"/>
  <c r="N18" i="1"/>
  <c r="M18" i="1"/>
  <c r="L18" i="1"/>
  <c r="K18" i="1"/>
  <c r="J18" i="1"/>
  <c r="I18" i="1"/>
  <c r="H18" i="1"/>
  <c r="G18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R17" i="1"/>
  <c r="Q17" i="1"/>
  <c r="P17" i="1"/>
  <c r="O17" i="1"/>
  <c r="N17" i="1"/>
  <c r="M17" i="1"/>
  <c r="L17" i="1"/>
  <c r="K17" i="1"/>
  <c r="J17" i="1"/>
  <c r="I17" i="1"/>
  <c r="H17" i="1"/>
  <c r="G17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R16" i="1"/>
  <c r="Q16" i="1"/>
  <c r="P16" i="1"/>
  <c r="O16" i="1"/>
  <c r="N16" i="1"/>
  <c r="M16" i="1"/>
  <c r="L16" i="1"/>
  <c r="K16" i="1"/>
  <c r="J16" i="1"/>
  <c r="I16" i="1"/>
  <c r="H16" i="1"/>
  <c r="G16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R15" i="1"/>
  <c r="Q15" i="1"/>
  <c r="P15" i="1"/>
  <c r="O15" i="1"/>
  <c r="N15" i="1"/>
  <c r="M15" i="1"/>
  <c r="L15" i="1"/>
  <c r="K15" i="1"/>
  <c r="J15" i="1"/>
  <c r="I15" i="1"/>
  <c r="H15" i="1"/>
  <c r="G15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R14" i="1"/>
  <c r="Q14" i="1"/>
  <c r="P14" i="1"/>
  <c r="O14" i="1"/>
  <c r="N14" i="1"/>
  <c r="M14" i="1"/>
  <c r="L14" i="1"/>
  <c r="K14" i="1"/>
  <c r="J14" i="1"/>
  <c r="I14" i="1"/>
  <c r="H14" i="1"/>
  <c r="G14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R13" i="1"/>
  <c r="Q13" i="1"/>
  <c r="P13" i="1"/>
  <c r="O13" i="1"/>
  <c r="N13" i="1"/>
  <c r="M13" i="1"/>
  <c r="L13" i="1"/>
  <c r="K13" i="1"/>
  <c r="J13" i="1"/>
  <c r="I13" i="1"/>
  <c r="H13" i="1"/>
  <c r="G13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R12" i="1"/>
  <c r="Q12" i="1"/>
  <c r="P12" i="1"/>
  <c r="O12" i="1"/>
  <c r="N12" i="1"/>
  <c r="M12" i="1"/>
  <c r="L12" i="1"/>
  <c r="K12" i="1"/>
  <c r="J12" i="1"/>
  <c r="I12" i="1"/>
  <c r="H12" i="1"/>
  <c r="G12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R11" i="1"/>
  <c r="Q11" i="1"/>
  <c r="P11" i="1"/>
  <c r="O11" i="1"/>
  <c r="N11" i="1"/>
  <c r="M11" i="1"/>
  <c r="L11" i="1"/>
  <c r="K11" i="1"/>
  <c r="J11" i="1"/>
  <c r="I11" i="1"/>
  <c r="H11" i="1"/>
  <c r="G11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R10" i="1"/>
  <c r="Q10" i="1"/>
  <c r="P10" i="1"/>
  <c r="O10" i="1"/>
  <c r="N10" i="1"/>
  <c r="M10" i="1"/>
  <c r="L10" i="1"/>
  <c r="K10" i="1"/>
  <c r="J10" i="1"/>
  <c r="I10" i="1"/>
  <c r="H10" i="1"/>
  <c r="G10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R9" i="1"/>
  <c r="Q9" i="1"/>
  <c r="P9" i="1"/>
  <c r="O9" i="1"/>
  <c r="N9" i="1"/>
  <c r="M9" i="1"/>
  <c r="L9" i="1"/>
  <c r="K9" i="1"/>
  <c r="J9" i="1"/>
  <c r="I9" i="1"/>
  <c r="H9" i="1"/>
  <c r="G9" i="1"/>
  <c r="E9" i="1" s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R8" i="1"/>
  <c r="Q8" i="1"/>
  <c r="P8" i="1"/>
  <c r="O8" i="1"/>
  <c r="N8" i="1"/>
  <c r="M8" i="1"/>
  <c r="L8" i="1"/>
  <c r="K8" i="1"/>
  <c r="J8" i="1"/>
  <c r="I8" i="1"/>
  <c r="H8" i="1"/>
  <c r="G8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R7" i="1"/>
  <c r="Q7" i="1"/>
  <c r="P7" i="1"/>
  <c r="O7" i="1"/>
  <c r="N7" i="1"/>
  <c r="M7" i="1"/>
  <c r="L7" i="1"/>
  <c r="K7" i="1"/>
  <c r="J7" i="1"/>
  <c r="I7" i="1"/>
  <c r="H7" i="1"/>
  <c r="G7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R6" i="1"/>
  <c r="Q6" i="1"/>
  <c r="P6" i="1"/>
  <c r="O6" i="1"/>
  <c r="N6" i="1"/>
  <c r="M6" i="1"/>
  <c r="L6" i="1"/>
  <c r="K6" i="1"/>
  <c r="J6" i="1"/>
  <c r="I6" i="1"/>
  <c r="H6" i="1"/>
  <c r="G6" i="1"/>
  <c r="AM5" i="1"/>
  <c r="AL5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R5" i="1"/>
  <c r="Q5" i="1"/>
  <c r="P5" i="1"/>
  <c r="O5" i="1"/>
  <c r="N5" i="1"/>
  <c r="M5" i="1"/>
  <c r="L5" i="1"/>
  <c r="K5" i="1"/>
  <c r="J5" i="1"/>
  <c r="I5" i="1"/>
  <c r="H5" i="1"/>
  <c r="G5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R4" i="1"/>
  <c r="Q4" i="1"/>
  <c r="P4" i="1"/>
  <c r="O4" i="1"/>
  <c r="N4" i="1"/>
  <c r="M4" i="1"/>
  <c r="L4" i="1"/>
  <c r="K4" i="1"/>
  <c r="J4" i="1"/>
  <c r="I4" i="1"/>
  <c r="H4" i="1"/>
  <c r="G4" i="1"/>
  <c r="AM3" i="1"/>
  <c r="AL3" i="1"/>
  <c r="AK3" i="1"/>
  <c r="AJ3" i="1"/>
  <c r="AI3" i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R3" i="1"/>
  <c r="Q3" i="1"/>
  <c r="P3" i="1"/>
  <c r="O3" i="1"/>
  <c r="N3" i="1"/>
  <c r="C3" i="1" s="1"/>
  <c r="M3" i="1"/>
  <c r="L3" i="1"/>
  <c r="K3" i="1"/>
  <c r="J3" i="1"/>
  <c r="I3" i="1"/>
  <c r="H3" i="1"/>
  <c r="G3" i="1"/>
  <c r="F3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G2" i="1"/>
  <c r="AM1" i="1"/>
  <c r="AL1" i="1"/>
  <c r="AK1" i="1"/>
  <c r="AJ1" i="1"/>
  <c r="AI1" i="1"/>
  <c r="AH1" i="1"/>
  <c r="AG1" i="1"/>
  <c r="AF1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H1" i="1"/>
  <c r="G1" i="1"/>
  <c r="D9" i="1" l="1"/>
  <c r="C13" i="1"/>
  <c r="D22" i="1"/>
  <c r="A18" i="1"/>
  <c r="F17" i="1"/>
  <c r="D6" i="1"/>
  <c r="B5" i="1"/>
  <c r="D32" i="1"/>
  <c r="C40" i="1"/>
  <c r="E17" i="1"/>
  <c r="E27" i="1"/>
  <c r="E14" i="1"/>
  <c r="F39" i="1"/>
  <c r="F19" i="1"/>
  <c r="F29" i="1"/>
  <c r="B32" i="1"/>
  <c r="A38" i="1"/>
  <c r="F30" i="1"/>
  <c r="B35" i="1"/>
  <c r="A10" i="1"/>
  <c r="E36" i="1"/>
  <c r="F12" i="1"/>
  <c r="B37" i="1"/>
  <c r="C27" i="1"/>
  <c r="D8" i="1"/>
  <c r="A34" i="1"/>
  <c r="B3" i="1"/>
  <c r="A5" i="1"/>
  <c r="D16" i="1"/>
  <c r="A27" i="1"/>
  <c r="F31" i="1"/>
  <c r="E32" i="1"/>
  <c r="F40" i="1"/>
  <c r="D40" i="1"/>
  <c r="D41" i="1"/>
  <c r="E24" i="1"/>
  <c r="E3" i="1"/>
  <c r="C14" i="1"/>
  <c r="B27" i="1"/>
  <c r="A26" i="1"/>
  <c r="A13" i="1"/>
  <c r="F25" i="1"/>
  <c r="D30" i="1"/>
  <c r="D3" i="1"/>
  <c r="B13" i="1"/>
  <c r="C22" i="1"/>
  <c r="E30" i="1"/>
  <c r="B40" i="1"/>
  <c r="I4" i="4"/>
  <c r="F8" i="1"/>
  <c r="E8" i="1"/>
  <c r="E11" i="1"/>
  <c r="F16" i="1"/>
  <c r="E16" i="1"/>
  <c r="D17" i="1"/>
  <c r="E20" i="1"/>
  <c r="B22" i="1"/>
  <c r="F27" i="1"/>
  <c r="E28" i="1"/>
  <c r="B30" i="1"/>
  <c r="A32" i="1"/>
  <c r="A3" i="1"/>
  <c r="F5" i="1"/>
  <c r="A6" i="1"/>
  <c r="F9" i="1"/>
  <c r="A14" i="1"/>
  <c r="F32" i="1"/>
  <c r="E33" i="1"/>
  <c r="C35" i="1"/>
  <c r="F37" i="1"/>
  <c r="A40" i="1"/>
  <c r="F41" i="1"/>
  <c r="D35" i="1"/>
  <c r="L17" i="4"/>
  <c r="F11" i="1"/>
  <c r="F20" i="1"/>
  <c r="F24" i="1"/>
  <c r="E25" i="1"/>
  <c r="F38" i="1"/>
  <c r="B38" i="1"/>
  <c r="L13" i="4"/>
  <c r="J21" i="2"/>
  <c r="K21" i="2"/>
  <c r="G6" i="2"/>
  <c r="A19" i="1"/>
  <c r="F21" i="1"/>
  <c r="B29" i="1"/>
  <c r="E35" i="1"/>
  <c r="C5" i="1"/>
  <c r="C6" i="1"/>
  <c r="A11" i="1"/>
  <c r="F13" i="1"/>
  <c r="D14" i="1"/>
  <c r="B19" i="1"/>
  <c r="E22" i="1"/>
  <c r="A24" i="1"/>
  <c r="D27" i="1"/>
  <c r="A30" i="1"/>
  <c r="C32" i="1"/>
  <c r="F35" i="1"/>
  <c r="F36" i="1"/>
  <c r="A37" i="1"/>
  <c r="E40" i="1"/>
  <c r="A8" i="1"/>
  <c r="B11" i="1"/>
  <c r="J12" i="5"/>
  <c r="A16" i="1"/>
  <c r="C19" i="1"/>
  <c r="B21" i="1"/>
  <c r="F22" i="1"/>
  <c r="B24" i="1"/>
  <c r="E6" i="1"/>
  <c r="B6" i="1"/>
  <c r="F7" i="1"/>
  <c r="B8" i="1"/>
  <c r="C11" i="1"/>
  <c r="F14" i="1"/>
  <c r="B14" i="1"/>
  <c r="F15" i="1"/>
  <c r="B16" i="1"/>
  <c r="D19" i="1"/>
  <c r="A22" i="1"/>
  <c r="C24" i="1"/>
  <c r="C37" i="1"/>
  <c r="C38" i="1"/>
  <c r="F4" i="2"/>
  <c r="C8" i="1"/>
  <c r="D11" i="1"/>
  <c r="C16" i="1"/>
  <c r="E19" i="1"/>
  <c r="D24" i="1"/>
  <c r="A29" i="1"/>
  <c r="A35" i="1"/>
  <c r="D38" i="1"/>
  <c r="E17" i="5"/>
  <c r="C29" i="1"/>
  <c r="C30" i="1"/>
  <c r="E38" i="1"/>
  <c r="D4" i="1"/>
  <c r="C4" i="1"/>
  <c r="B4" i="1"/>
  <c r="A4" i="1"/>
  <c r="G4" i="2"/>
  <c r="K9" i="2"/>
  <c r="G12" i="2"/>
  <c r="K17" i="2"/>
  <c r="G20" i="2"/>
  <c r="K25" i="2"/>
  <c r="G28" i="2"/>
  <c r="I6" i="4"/>
  <c r="E9" i="4"/>
  <c r="I14" i="4"/>
  <c r="E17" i="4"/>
  <c r="F4" i="5"/>
  <c r="J9" i="5"/>
  <c r="D12" i="1"/>
  <c r="C12" i="1"/>
  <c r="B12" i="1"/>
  <c r="A12" i="1"/>
  <c r="J23" i="2"/>
  <c r="G10" i="2"/>
  <c r="K15" i="2"/>
  <c r="E7" i="4"/>
  <c r="I12" i="4"/>
  <c r="E15" i="4"/>
  <c r="I20" i="4"/>
  <c r="I5" i="5"/>
  <c r="C33" i="1"/>
  <c r="F18" i="2"/>
  <c r="H16" i="5"/>
  <c r="E31" i="1"/>
  <c r="D31" i="1"/>
  <c r="C31" i="1"/>
  <c r="B31" i="1"/>
  <c r="A31" i="1"/>
  <c r="K7" i="2"/>
  <c r="E5" i="8"/>
  <c r="E5" i="7"/>
  <c r="I6" i="7"/>
  <c r="I4" i="6"/>
  <c r="I6" i="8"/>
  <c r="E4" i="8"/>
  <c r="E4" i="7"/>
  <c r="I5" i="8"/>
  <c r="E6" i="8"/>
  <c r="I5" i="7"/>
  <c r="E22" i="5"/>
  <c r="I12" i="5"/>
  <c r="I9" i="5"/>
  <c r="E28" i="2"/>
  <c r="I27" i="2"/>
  <c r="E26" i="2"/>
  <c r="I25" i="2"/>
  <c r="E24" i="2"/>
  <c r="I23" i="2"/>
  <c r="E22" i="2"/>
  <c r="I21" i="2"/>
  <c r="E20" i="2"/>
  <c r="I19" i="2"/>
  <c r="E18" i="2"/>
  <c r="I17" i="2"/>
  <c r="E16" i="2"/>
  <c r="I15" i="2"/>
  <c r="E14" i="2"/>
  <c r="I13" i="2"/>
  <c r="E12" i="2"/>
  <c r="I11" i="2"/>
  <c r="E10" i="2"/>
  <c r="I9" i="2"/>
  <c r="E8" i="2"/>
  <c r="I7" i="2"/>
  <c r="E6" i="2"/>
  <c r="I5" i="2"/>
  <c r="E4" i="2"/>
  <c r="I14" i="2"/>
  <c r="I10" i="2"/>
  <c r="I6" i="2"/>
  <c r="I15" i="5"/>
  <c r="E13" i="5"/>
  <c r="E10" i="5"/>
  <c r="I8" i="3"/>
  <c r="E7" i="3"/>
  <c r="I6" i="3"/>
  <c r="E5" i="3"/>
  <c r="I4" i="3"/>
  <c r="E8" i="4"/>
  <c r="E6" i="4"/>
  <c r="I5" i="4"/>
  <c r="I12" i="2"/>
  <c r="E7" i="2"/>
  <c r="E4" i="3"/>
  <c r="E16" i="5"/>
  <c r="E20" i="4"/>
  <c r="I19" i="4"/>
  <c r="E18" i="4"/>
  <c r="I17" i="4"/>
  <c r="E16" i="4"/>
  <c r="I15" i="4"/>
  <c r="E14" i="4"/>
  <c r="I13" i="4"/>
  <c r="E12" i="4"/>
  <c r="I11" i="4"/>
  <c r="E10" i="4"/>
  <c r="I9" i="4"/>
  <c r="I7" i="4"/>
  <c r="E4" i="4"/>
  <c r="I16" i="2"/>
  <c r="E11" i="2"/>
  <c r="I8" i="2"/>
  <c r="E5" i="2"/>
  <c r="F5" i="8"/>
  <c r="F4" i="6"/>
  <c r="I18" i="5"/>
  <c r="I14" i="5"/>
  <c r="F12" i="5"/>
  <c r="I11" i="5"/>
  <c r="E9" i="5"/>
  <c r="I8" i="5"/>
  <c r="E7" i="5"/>
  <c r="I6" i="5"/>
  <c r="E5" i="5"/>
  <c r="I4" i="5"/>
  <c r="E15" i="2"/>
  <c r="I5" i="3"/>
  <c r="I4" i="8"/>
  <c r="E4" i="6"/>
  <c r="I20" i="5"/>
  <c r="I19" i="5"/>
  <c r="I17" i="5"/>
  <c r="E15" i="5"/>
  <c r="E12" i="5"/>
  <c r="G11" i="5"/>
  <c r="K20" i="4"/>
  <c r="K18" i="4"/>
  <c r="K16" i="4"/>
  <c r="K14" i="4"/>
  <c r="K12" i="4"/>
  <c r="K10" i="4"/>
  <c r="K8" i="4"/>
  <c r="K6" i="4"/>
  <c r="K4" i="4"/>
  <c r="I28" i="2"/>
  <c r="E27" i="2"/>
  <c r="I26" i="2"/>
  <c r="E25" i="2"/>
  <c r="I24" i="2"/>
  <c r="E23" i="2"/>
  <c r="I22" i="2"/>
  <c r="E21" i="2"/>
  <c r="I20" i="2"/>
  <c r="E19" i="2"/>
  <c r="I18" i="2"/>
  <c r="E17" i="2"/>
  <c r="E13" i="2"/>
  <c r="E9" i="2"/>
  <c r="I4" i="2"/>
  <c r="E6" i="3"/>
  <c r="F4" i="8"/>
  <c r="E6" i="7"/>
  <c r="I22" i="5"/>
  <c r="I21" i="5"/>
  <c r="G19" i="5"/>
  <c r="F18" i="5"/>
  <c r="G17" i="5"/>
  <c r="G14" i="5"/>
  <c r="F11" i="5"/>
  <c r="I10" i="5"/>
  <c r="G8" i="5"/>
  <c r="G6" i="5"/>
  <c r="G4" i="5"/>
  <c r="J20" i="4"/>
  <c r="J18" i="4"/>
  <c r="J16" i="4"/>
  <c r="F15" i="4"/>
  <c r="J14" i="4"/>
  <c r="F13" i="4"/>
  <c r="J12" i="4"/>
  <c r="F11" i="4"/>
  <c r="J10" i="4"/>
  <c r="F9" i="4"/>
  <c r="J8" i="4"/>
  <c r="F7" i="4"/>
  <c r="J6" i="4"/>
  <c r="F5" i="4"/>
  <c r="J4" i="4"/>
  <c r="E8" i="3"/>
  <c r="I7" i="3"/>
  <c r="I4" i="7"/>
  <c r="G21" i="5"/>
  <c r="F20" i="5"/>
  <c r="E19" i="5"/>
  <c r="E18" i="5"/>
  <c r="F17" i="5"/>
  <c r="I16" i="5"/>
  <c r="F14" i="5"/>
  <c r="I13" i="5"/>
  <c r="E11" i="5"/>
  <c r="F8" i="5"/>
  <c r="F6" i="5"/>
  <c r="F22" i="5"/>
  <c r="E21" i="5"/>
  <c r="E20" i="5"/>
  <c r="C9" i="1"/>
  <c r="F10" i="1"/>
  <c r="E10" i="1"/>
  <c r="D10" i="1"/>
  <c r="C10" i="1"/>
  <c r="B10" i="1"/>
  <c r="D20" i="1"/>
  <c r="C20" i="1"/>
  <c r="B20" i="1"/>
  <c r="A20" i="1"/>
  <c r="C41" i="1"/>
  <c r="J5" i="2"/>
  <c r="F8" i="2"/>
  <c r="J13" i="2"/>
  <c r="F16" i="2"/>
  <c r="F24" i="2"/>
  <c r="J8" i="3"/>
  <c r="L7" i="4"/>
  <c r="L15" i="4"/>
  <c r="F9" i="5"/>
  <c r="E6" i="5"/>
  <c r="F26" i="2"/>
  <c r="F7" i="3"/>
  <c r="F5" i="3"/>
  <c r="F8" i="3"/>
  <c r="F6" i="3"/>
  <c r="F4" i="3"/>
  <c r="G10" i="5"/>
  <c r="G18" i="2"/>
  <c r="K23" i="2"/>
  <c r="E7" i="1"/>
  <c r="D7" i="1"/>
  <c r="C7" i="1"/>
  <c r="A7" i="1"/>
  <c r="B7" i="1"/>
  <c r="D25" i="1"/>
  <c r="E39" i="1"/>
  <c r="D39" i="1"/>
  <c r="C39" i="1"/>
  <c r="A39" i="1"/>
  <c r="B39" i="1"/>
  <c r="H2" i="2"/>
  <c r="G27" i="2"/>
  <c r="G25" i="2"/>
  <c r="G23" i="2"/>
  <c r="G17" i="2"/>
  <c r="G11" i="2"/>
  <c r="G5" i="2"/>
  <c r="G21" i="2"/>
  <c r="G19" i="2"/>
  <c r="G15" i="2"/>
  <c r="G13" i="2"/>
  <c r="G9" i="2"/>
  <c r="G7" i="2"/>
  <c r="K5" i="2"/>
  <c r="G8" i="2"/>
  <c r="K13" i="2"/>
  <c r="G16" i="2"/>
  <c r="G24" i="2"/>
  <c r="F20" i="4"/>
  <c r="E5" i="4"/>
  <c r="I10" i="4"/>
  <c r="E13" i="4"/>
  <c r="I18" i="4"/>
  <c r="G9" i="5"/>
  <c r="E23" i="1"/>
  <c r="D23" i="1"/>
  <c r="A23" i="1"/>
  <c r="C23" i="1"/>
  <c r="B23" i="1"/>
  <c r="F34" i="1"/>
  <c r="E34" i="1"/>
  <c r="D34" i="1"/>
  <c r="B34" i="1"/>
  <c r="C34" i="1"/>
  <c r="J7" i="2"/>
  <c r="L9" i="4"/>
  <c r="F4" i="7"/>
  <c r="G26" i="2"/>
  <c r="G2" i="3"/>
  <c r="C17" i="1"/>
  <c r="F18" i="1"/>
  <c r="E18" i="1"/>
  <c r="B18" i="1"/>
  <c r="D18" i="1"/>
  <c r="C18" i="1"/>
  <c r="D28" i="1"/>
  <c r="C28" i="1"/>
  <c r="B28" i="1"/>
  <c r="A28" i="1"/>
  <c r="J28" i="2"/>
  <c r="J26" i="2"/>
  <c r="J24" i="2"/>
  <c r="J22" i="2"/>
  <c r="J20" i="2"/>
  <c r="J18" i="2"/>
  <c r="J16" i="2"/>
  <c r="J14" i="2"/>
  <c r="J12" i="2"/>
  <c r="J10" i="2"/>
  <c r="J8" i="2"/>
  <c r="J6" i="2"/>
  <c r="J4" i="2"/>
  <c r="F6" i="2"/>
  <c r="J11" i="2"/>
  <c r="F14" i="2"/>
  <c r="J19" i="2"/>
  <c r="F22" i="2"/>
  <c r="J27" i="2"/>
  <c r="J19" i="4"/>
  <c r="L5" i="4"/>
  <c r="H21" i="5"/>
  <c r="H19" i="5"/>
  <c r="H17" i="5"/>
  <c r="H15" i="5"/>
  <c r="H13" i="5"/>
  <c r="H11" i="5"/>
  <c r="H9" i="5"/>
  <c r="H7" i="5"/>
  <c r="H5" i="5"/>
  <c r="H12" i="5"/>
  <c r="H18" i="5"/>
  <c r="H14" i="5"/>
  <c r="H8" i="5"/>
  <c r="H6" i="5"/>
  <c r="H4" i="5"/>
  <c r="H20" i="5"/>
  <c r="H22" i="5"/>
  <c r="H10" i="5"/>
  <c r="I7" i="5"/>
  <c r="G13" i="5"/>
  <c r="J15" i="2"/>
  <c r="E4" i="1"/>
  <c r="E15" i="1"/>
  <c r="D15" i="1"/>
  <c r="A15" i="1"/>
  <c r="C15" i="1"/>
  <c r="B15" i="1"/>
  <c r="D33" i="1"/>
  <c r="K28" i="2"/>
  <c r="K20" i="2"/>
  <c r="K18" i="2"/>
  <c r="K14" i="2"/>
  <c r="K12" i="2"/>
  <c r="K8" i="2"/>
  <c r="K6" i="2"/>
  <c r="K26" i="2"/>
  <c r="K24" i="2"/>
  <c r="K22" i="2"/>
  <c r="K16" i="2"/>
  <c r="K10" i="2"/>
  <c r="K4" i="2"/>
  <c r="L2" i="2"/>
  <c r="G14" i="2"/>
  <c r="K19" i="2"/>
  <c r="G22" i="2"/>
  <c r="K27" i="2"/>
  <c r="K19" i="4"/>
  <c r="I8" i="4"/>
  <c r="E11" i="4"/>
  <c r="I16" i="4"/>
  <c r="E19" i="4"/>
  <c r="J22" i="5"/>
  <c r="J20" i="5"/>
  <c r="J18" i="5"/>
  <c r="J15" i="5"/>
  <c r="J14" i="5"/>
  <c r="J11" i="5"/>
  <c r="J8" i="5"/>
  <c r="J6" i="5"/>
  <c r="J4" i="5"/>
  <c r="J19" i="5"/>
  <c r="J17" i="5"/>
  <c r="J21" i="5"/>
  <c r="J10" i="5"/>
  <c r="J16" i="5"/>
  <c r="J13" i="5"/>
  <c r="K2" i="5"/>
  <c r="J7" i="5"/>
  <c r="J5" i="5"/>
  <c r="E8" i="5"/>
  <c r="E14" i="5"/>
  <c r="H4" i="6"/>
  <c r="F10" i="2"/>
  <c r="K11" i="2"/>
  <c r="F4" i="1"/>
  <c r="E12" i="1"/>
  <c r="F23" i="1"/>
  <c r="C25" i="1"/>
  <c r="F26" i="1"/>
  <c r="E26" i="1"/>
  <c r="D26" i="1"/>
  <c r="C26" i="1"/>
  <c r="B26" i="1"/>
  <c r="D36" i="1"/>
  <c r="C36" i="1"/>
  <c r="B36" i="1"/>
  <c r="A36" i="1"/>
  <c r="J9" i="2"/>
  <c r="F12" i="2"/>
  <c r="J17" i="2"/>
  <c r="F20" i="2"/>
  <c r="J25" i="2"/>
  <c r="F28" i="2"/>
  <c r="L20" i="4"/>
  <c r="L18" i="4"/>
  <c r="L16" i="4"/>
  <c r="L14" i="4"/>
  <c r="L12" i="4"/>
  <c r="L10" i="4"/>
  <c r="L8" i="4"/>
  <c r="L6" i="4"/>
  <c r="L4" i="4"/>
  <c r="L11" i="4"/>
  <c r="L19" i="4"/>
  <c r="E4" i="5"/>
  <c r="K4" i="6"/>
  <c r="J6" i="8"/>
  <c r="K2" i="8"/>
  <c r="J5" i="8"/>
  <c r="J4" i="8"/>
  <c r="G2" i="7"/>
  <c r="F17" i="4"/>
  <c r="F19" i="4"/>
  <c r="J6" i="7"/>
  <c r="K2" i="7"/>
  <c r="J5" i="7"/>
  <c r="J4" i="7"/>
  <c r="J5" i="3"/>
  <c r="J7" i="3"/>
  <c r="F6" i="7"/>
  <c r="F6" i="1"/>
  <c r="G12" i="12" a="1"/>
  <c r="G12" i="12" s="1"/>
  <c r="D10" i="12" a="1"/>
  <c r="D10" i="12" s="1"/>
  <c r="B12" i="12" a="1"/>
  <c r="B12" i="12" s="1"/>
  <c r="C12" i="12" s="1"/>
  <c r="G11" i="12" a="1"/>
  <c r="G11" i="12" s="1"/>
  <c r="D9" i="12" a="1"/>
  <c r="D9" i="12" s="1"/>
  <c r="J12" i="12" a="1"/>
  <c r="J12" i="12" s="1"/>
  <c r="F12" i="12" a="1"/>
  <c r="F12" i="12" s="1"/>
  <c r="B11" i="12" a="1"/>
  <c r="B11" i="12" s="1"/>
  <c r="C11" i="12" s="1"/>
  <c r="G10" i="12" a="1"/>
  <c r="G10" i="12" s="1"/>
  <c r="E10" i="12" a="1"/>
  <c r="E10" i="12" s="1"/>
  <c r="B9" i="12" a="1"/>
  <c r="B9" i="12" s="1"/>
  <c r="C9" i="12" s="1"/>
  <c r="G8" i="12" a="1"/>
  <c r="G8" i="12" s="1"/>
  <c r="D6" i="12" a="1"/>
  <c r="D6" i="12" s="1"/>
  <c r="E4" i="12" a="1"/>
  <c r="E4" i="12" s="1"/>
  <c r="J12" i="10" a="1"/>
  <c r="J12" i="10" s="1"/>
  <c r="F12" i="10" a="1"/>
  <c r="F12" i="10" s="1"/>
  <c r="B11" i="10" a="1"/>
  <c r="B11" i="10" s="1"/>
  <c r="C11" i="10" s="1"/>
  <c r="G10" i="10" a="1"/>
  <c r="G10" i="10" s="1"/>
  <c r="D8" i="10" a="1"/>
  <c r="D8" i="10" s="1"/>
  <c r="E6" i="10" a="1"/>
  <c r="E6" i="10" s="1"/>
  <c r="J4" i="10" a="1"/>
  <c r="J4" i="10" s="1"/>
  <c r="F4" i="10" a="1"/>
  <c r="F4" i="10" s="1"/>
  <c r="B11" i="9" a="1"/>
  <c r="B11" i="9" s="1"/>
  <c r="C11" i="9" s="1"/>
  <c r="G10" i="9" a="1"/>
  <c r="G10" i="9" s="1"/>
  <c r="D8" i="9" a="1"/>
  <c r="D8" i="9" s="1"/>
  <c r="E6" i="9" a="1"/>
  <c r="E6" i="9" s="1"/>
  <c r="J4" i="9" a="1"/>
  <c r="J4" i="9" s="1"/>
  <c r="F4" i="9" a="1"/>
  <c r="F4" i="9" s="1"/>
  <c r="J10" i="12" a="1"/>
  <c r="J10" i="12" s="1"/>
  <c r="G9" i="12" a="1"/>
  <c r="G9" i="12" s="1"/>
  <c r="B8" i="12" a="1"/>
  <c r="B8" i="12" s="1"/>
  <c r="C8" i="12" s="1"/>
  <c r="G7" i="12" a="1"/>
  <c r="G7" i="12" s="1"/>
  <c r="D5" i="12" a="1"/>
  <c r="D5" i="12" s="1"/>
  <c r="E4" i="11" a="1"/>
  <c r="E4" i="11" s="1"/>
  <c r="J11" i="10" a="1"/>
  <c r="J11" i="10" s="1"/>
  <c r="F11" i="10" a="1"/>
  <c r="F11" i="10" s="1"/>
  <c r="B10" i="10" a="1"/>
  <c r="B10" i="10" s="1"/>
  <c r="C10" i="10" s="1"/>
  <c r="G9" i="10" a="1"/>
  <c r="G9" i="10" s="1"/>
  <c r="D7" i="10" a="1"/>
  <c r="D7" i="10" s="1"/>
  <c r="E5" i="10" a="1"/>
  <c r="E5" i="10" s="1"/>
  <c r="J11" i="9" a="1"/>
  <c r="J11" i="9" s="1"/>
  <c r="F11" i="9" a="1"/>
  <c r="F11" i="9" s="1"/>
  <c r="B10" i="9" a="1"/>
  <c r="B10" i="9" s="1"/>
  <c r="C10" i="9" s="1"/>
  <c r="G9" i="9" a="1"/>
  <c r="G9" i="9" s="1"/>
  <c r="D7" i="9" a="1"/>
  <c r="D7" i="9" s="1"/>
  <c r="E5" i="9" a="1"/>
  <c r="E5" i="9" s="1"/>
  <c r="E12" i="12" a="1"/>
  <c r="E12" i="12" s="1"/>
  <c r="J8" i="12" a="1"/>
  <c r="J8" i="12" s="1"/>
  <c r="F8" i="12" a="1"/>
  <c r="F8" i="12" s="1"/>
  <c r="B7" i="12" a="1"/>
  <c r="B7" i="12" s="1"/>
  <c r="C7" i="12" s="1"/>
  <c r="G6" i="12" a="1"/>
  <c r="G6" i="12" s="1"/>
  <c r="D4" i="12" a="1"/>
  <c r="D4" i="12" s="1"/>
  <c r="E12" i="10" a="1"/>
  <c r="E12" i="10" s="1"/>
  <c r="J10" i="10" a="1"/>
  <c r="J10" i="10" s="1"/>
  <c r="F10" i="10" a="1"/>
  <c r="F10" i="10" s="1"/>
  <c r="B9" i="10" a="1"/>
  <c r="B9" i="10" s="1"/>
  <c r="C9" i="10" s="1"/>
  <c r="G8" i="10" a="1"/>
  <c r="G8" i="10" s="1"/>
  <c r="D6" i="10" a="1"/>
  <c r="D6" i="10" s="1"/>
  <c r="E4" i="10" a="1"/>
  <c r="E4" i="10" s="1"/>
  <c r="J10" i="9" a="1"/>
  <c r="J10" i="9" s="1"/>
  <c r="F10" i="9" a="1"/>
  <c r="F10" i="9" s="1"/>
  <c r="B9" i="9" a="1"/>
  <c r="B9" i="9" s="1"/>
  <c r="C9" i="9" s="1"/>
  <c r="G8" i="9" a="1"/>
  <c r="G8" i="9" s="1"/>
  <c r="D6" i="9" a="1"/>
  <c r="D6" i="9" s="1"/>
  <c r="E4" i="9" a="1"/>
  <c r="E4" i="9" s="1"/>
  <c r="F11" i="12" a="1"/>
  <c r="F11" i="12" s="1"/>
  <c r="B10" i="12" a="1"/>
  <c r="B10" i="12" s="1"/>
  <c r="C10" i="12" s="1"/>
  <c r="F9" i="12" a="1"/>
  <c r="F9" i="12" s="1"/>
  <c r="J7" i="12" a="1"/>
  <c r="J7" i="12" s="1"/>
  <c r="F7" i="12" a="1"/>
  <c r="F7" i="12" s="1"/>
  <c r="B6" i="12" a="1"/>
  <c r="B6" i="12" s="1"/>
  <c r="C6" i="12" s="1"/>
  <c r="G5" i="12" a="1"/>
  <c r="G5" i="12" s="1"/>
  <c r="E11" i="12" a="1"/>
  <c r="E11" i="12" s="1"/>
  <c r="J9" i="12" a="1"/>
  <c r="J9" i="12" s="1"/>
  <c r="J5" i="12" a="1"/>
  <c r="J5" i="12" s="1"/>
  <c r="B4" i="12" a="1"/>
  <c r="B4" i="12" s="1"/>
  <c r="C4" i="12" s="1"/>
  <c r="B12" i="10" a="1"/>
  <c r="B12" i="10" s="1"/>
  <c r="C12" i="10" s="1"/>
  <c r="D11" i="10" a="1"/>
  <c r="D11" i="10" s="1"/>
  <c r="J8" i="10" a="1"/>
  <c r="J8" i="10" s="1"/>
  <c r="F7" i="10" a="1"/>
  <c r="F7" i="10" s="1"/>
  <c r="D10" i="9" a="1"/>
  <c r="D10" i="9" s="1"/>
  <c r="J7" i="9" a="1"/>
  <c r="J7" i="9" s="1"/>
  <c r="F6" i="9" a="1"/>
  <c r="F6" i="9" s="1"/>
  <c r="J4" i="12" a="1"/>
  <c r="J4" i="12" s="1"/>
  <c r="F4" i="11" a="1"/>
  <c r="F4" i="11" s="1"/>
  <c r="E10" i="10" a="1"/>
  <c r="E10" i="10" s="1"/>
  <c r="B8" i="10" a="1"/>
  <c r="B8" i="10" s="1"/>
  <c r="C8" i="10" s="1"/>
  <c r="G6" i="10" a="1"/>
  <c r="G6" i="10" s="1"/>
  <c r="J5" i="10" a="1"/>
  <c r="J5" i="10" s="1"/>
  <c r="E9" i="9" a="1"/>
  <c r="E9" i="9" s="1"/>
  <c r="B7" i="9" a="1"/>
  <c r="B7" i="9" s="1"/>
  <c r="C7" i="9" s="1"/>
  <c r="G5" i="9" a="1"/>
  <c r="G5" i="9" s="1"/>
  <c r="D11" i="12" a="1"/>
  <c r="D11" i="12" s="1"/>
  <c r="D4" i="11" a="1"/>
  <c r="D4" i="11" s="1"/>
  <c r="G12" i="10" a="1"/>
  <c r="G12" i="10" s="1"/>
  <c r="F9" i="10" a="1"/>
  <c r="F9" i="10" s="1"/>
  <c r="E7" i="10" a="1"/>
  <c r="E7" i="10" s="1"/>
  <c r="B5" i="10" a="1"/>
  <c r="B5" i="10" s="1"/>
  <c r="C5" i="10" s="1"/>
  <c r="D4" i="10" a="1"/>
  <c r="D4" i="10" s="1"/>
  <c r="G11" i="9" a="1"/>
  <c r="G11" i="9" s="1"/>
  <c r="J9" i="9" a="1"/>
  <c r="J9" i="9" s="1"/>
  <c r="F8" i="9" a="1"/>
  <c r="F8" i="9" s="1"/>
  <c r="B4" i="9" a="1"/>
  <c r="B4" i="9" s="1"/>
  <c r="C4" i="9" s="1"/>
  <c r="D12" i="12" a="1"/>
  <c r="D12" i="12" s="1"/>
  <c r="E8" i="12" a="1"/>
  <c r="E8" i="12" s="1"/>
  <c r="F6" i="12" a="1"/>
  <c r="F6" i="12" s="1"/>
  <c r="G4" i="12" a="1"/>
  <c r="G4" i="12" s="1"/>
  <c r="D10" i="10" a="1"/>
  <c r="D10" i="10" s="1"/>
  <c r="J7" i="10" a="1"/>
  <c r="J7" i="10" s="1"/>
  <c r="F6" i="10" a="1"/>
  <c r="F6" i="10" s="1"/>
  <c r="E11" i="9" a="1"/>
  <c r="E11" i="9" s="1"/>
  <c r="D9" i="9" a="1"/>
  <c r="D9" i="9" s="1"/>
  <c r="G7" i="9" a="1"/>
  <c r="G7" i="9" s="1"/>
  <c r="J6" i="9" a="1"/>
  <c r="J6" i="9" s="1"/>
  <c r="F5" i="9" a="1"/>
  <c r="F5" i="9" s="1"/>
  <c r="E9" i="12" a="1"/>
  <c r="E9" i="12" s="1"/>
  <c r="E7" i="12" a="1"/>
  <c r="E7" i="12" s="1"/>
  <c r="F5" i="12" a="1"/>
  <c r="F5" i="12" s="1"/>
  <c r="J4" i="11" a="1"/>
  <c r="J4" i="11" s="1"/>
  <c r="E9" i="10" a="1"/>
  <c r="E9" i="10" s="1"/>
  <c r="B7" i="10" a="1"/>
  <c r="B7" i="10" s="1"/>
  <c r="C7" i="10" s="1"/>
  <c r="G5" i="10" a="1"/>
  <c r="G5" i="10" s="1"/>
  <c r="E8" i="9" a="1"/>
  <c r="E8" i="9" s="1"/>
  <c r="B6" i="9" a="1"/>
  <c r="B6" i="9" s="1"/>
  <c r="C6" i="9" s="1"/>
  <c r="D5" i="9" a="1"/>
  <c r="D5" i="9" s="1"/>
  <c r="G4" i="9" a="1"/>
  <c r="G4" i="9" s="1"/>
  <c r="J11" i="12" a="1"/>
  <c r="J11" i="12" s="1"/>
  <c r="F10" i="12" a="1"/>
  <c r="F10" i="12" s="1"/>
  <c r="D8" i="12" a="1"/>
  <c r="D8" i="12" s="1"/>
  <c r="E6" i="12" a="1"/>
  <c r="E6" i="12" s="1"/>
  <c r="F4" i="12" a="1"/>
  <c r="F4" i="12" s="1"/>
  <c r="B4" i="11" a="1"/>
  <c r="B4" i="11" s="1"/>
  <c r="C4" i="11" s="1"/>
  <c r="D12" i="10" a="1"/>
  <c r="D12" i="10" s="1"/>
  <c r="G11" i="10" a="1"/>
  <c r="G11" i="10" s="1"/>
  <c r="J9" i="10" a="1"/>
  <c r="J9" i="10" s="1"/>
  <c r="F8" i="10" a="1"/>
  <c r="F8" i="10" s="1"/>
  <c r="B4" i="10" a="1"/>
  <c r="B4" i="10" s="1"/>
  <c r="C4" i="10" s="1"/>
  <c r="D11" i="9" a="1"/>
  <c r="D11" i="9" s="1"/>
  <c r="J8" i="9" a="1"/>
  <c r="J8" i="9" s="1"/>
  <c r="F7" i="9" a="1"/>
  <c r="F7" i="9" s="1"/>
  <c r="D7" i="12" a="1"/>
  <c r="D7" i="12" s="1"/>
  <c r="E5" i="12" a="1"/>
  <c r="E5" i="12" s="1"/>
  <c r="E11" i="10" a="1"/>
  <c r="E11" i="10" s="1"/>
  <c r="D9" i="10" a="1"/>
  <c r="D9" i="10" s="1"/>
  <c r="G7" i="10" a="1"/>
  <c r="G7" i="10" s="1"/>
  <c r="J6" i="10" a="1"/>
  <c r="J6" i="10" s="1"/>
  <c r="F5" i="10" a="1"/>
  <c r="F5" i="10" s="1"/>
  <c r="E10" i="9" a="1"/>
  <c r="E10" i="9" s="1"/>
  <c r="B8" i="9" a="1"/>
  <c r="B8" i="9" s="1"/>
  <c r="C8" i="9" s="1"/>
  <c r="G6" i="9" a="1"/>
  <c r="G6" i="9" s="1"/>
  <c r="J5" i="9" a="1"/>
  <c r="J5" i="9" s="1"/>
  <c r="J6" i="12" a="1"/>
  <c r="J6" i="12" s="1"/>
  <c r="B5" i="12" a="1"/>
  <c r="B5" i="12" s="1"/>
  <c r="C5" i="12" s="1"/>
  <c r="E5" i="11" a="1"/>
  <c r="E5" i="11" s="1"/>
  <c r="G4" i="11" a="1"/>
  <c r="G4" i="11" s="1"/>
  <c r="E8" i="10" a="1"/>
  <c r="E8" i="10" s="1"/>
  <c r="B6" i="10" a="1"/>
  <c r="B6" i="10" s="1"/>
  <c r="C6" i="10" s="1"/>
  <c r="D5" i="10" a="1"/>
  <c r="D5" i="10" s="1"/>
  <c r="G4" i="10" a="1"/>
  <c r="G4" i="10" s="1"/>
  <c r="F9" i="9" a="1"/>
  <c r="F9" i="9" s="1"/>
  <c r="E7" i="9" a="1"/>
  <c r="E7" i="9" s="1"/>
  <c r="B5" i="9" a="1"/>
  <c r="B5" i="9" s="1"/>
  <c r="C5" i="9" s="1"/>
  <c r="D4" i="9" a="1"/>
  <c r="D4" i="9" s="1"/>
  <c r="D5" i="1"/>
  <c r="D13" i="1"/>
  <c r="D21" i="1"/>
  <c r="D29" i="1"/>
  <c r="D37" i="1"/>
  <c r="F5" i="2"/>
  <c r="F7" i="2"/>
  <c r="F9" i="2"/>
  <c r="F11" i="2"/>
  <c r="F13" i="2"/>
  <c r="F15" i="2"/>
  <c r="F17" i="2"/>
  <c r="F19" i="2"/>
  <c r="F21" i="2"/>
  <c r="F23" i="2"/>
  <c r="F25" i="2"/>
  <c r="F27" i="2"/>
  <c r="K2" i="3"/>
  <c r="G2" i="4"/>
  <c r="F15" i="5"/>
  <c r="E5" i="1"/>
  <c r="A9" i="1"/>
  <c r="E13" i="1"/>
  <c r="A17" i="1"/>
  <c r="E21" i="1"/>
  <c r="A25" i="1"/>
  <c r="A41" i="1"/>
  <c r="F5" i="5"/>
  <c r="F7" i="5"/>
  <c r="G12" i="5"/>
  <c r="G15" i="5"/>
  <c r="G4" i="6"/>
  <c r="F5" i="7"/>
  <c r="F5" i="11" a="1"/>
  <c r="F5" i="11" s="1"/>
  <c r="E29" i="1"/>
  <c r="A33" i="1"/>
  <c r="E37" i="1"/>
  <c r="B9" i="1"/>
  <c r="B17" i="1"/>
  <c r="B25" i="1"/>
  <c r="B33" i="1"/>
  <c r="B41" i="1"/>
  <c r="F4" i="4"/>
  <c r="J5" i="4"/>
  <c r="F6" i="4"/>
  <c r="J7" i="4"/>
  <c r="F8" i="4"/>
  <c r="J9" i="4"/>
  <c r="F10" i="4"/>
  <c r="J11" i="4"/>
  <c r="F12" i="4"/>
  <c r="J13" i="4"/>
  <c r="F14" i="4"/>
  <c r="J15" i="4"/>
  <c r="F16" i="4"/>
  <c r="J17" i="4"/>
  <c r="F18" i="4"/>
  <c r="F21" i="5"/>
  <c r="F19" i="5"/>
  <c r="G5" i="5"/>
  <c r="G7" i="5"/>
  <c r="F16" i="5"/>
  <c r="J4" i="6"/>
  <c r="F6" i="8"/>
  <c r="J4" i="3"/>
  <c r="J6" i="3"/>
  <c r="K5" i="4"/>
  <c r="K7" i="4"/>
  <c r="K9" i="4"/>
  <c r="K11" i="4"/>
  <c r="K13" i="4"/>
  <c r="K15" i="4"/>
  <c r="K17" i="4"/>
  <c r="G22" i="5"/>
  <c r="G20" i="5"/>
  <c r="G18" i="5"/>
  <c r="F10" i="5"/>
  <c r="F13" i="5"/>
  <c r="G16" i="5"/>
  <c r="G2" i="8"/>
  <c r="G6" i="11" a="1"/>
  <c r="G6" i="11" s="1"/>
  <c r="A7" i="11"/>
  <c r="B6" i="11" a="1"/>
  <c r="B6" i="11" s="1"/>
  <c r="C6" i="11" s="1"/>
  <c r="D6" i="11" a="1"/>
  <c r="D6" i="11" s="1"/>
  <c r="J6" i="11" a="1"/>
  <c r="J6" i="11" s="1"/>
  <c r="D5" i="11" a="1"/>
  <c r="D5" i="11" s="1"/>
  <c r="G5" i="11" a="1"/>
  <c r="G5" i="11" s="1"/>
  <c r="E6" i="11" a="1"/>
  <c r="E6" i="11" s="1"/>
  <c r="B5" i="11" a="1"/>
  <c r="B5" i="11" s="1"/>
  <c r="C5" i="11" s="1"/>
  <c r="F6" i="11" a="1"/>
  <c r="F6" i="11" s="1"/>
  <c r="J5" i="11" a="1"/>
  <c r="J5" i="11" s="1"/>
  <c r="G20" i="4" l="1"/>
  <c r="G18" i="4"/>
  <c r="G16" i="4"/>
  <c r="G14" i="4"/>
  <c r="G12" i="4"/>
  <c r="G10" i="4"/>
  <c r="G8" i="4"/>
  <c r="G6" i="4"/>
  <c r="G4" i="4"/>
  <c r="H2" i="4"/>
  <c r="G19" i="4"/>
  <c r="G17" i="4"/>
  <c r="G15" i="4"/>
  <c r="G13" i="4"/>
  <c r="G11" i="4"/>
  <c r="G9" i="4"/>
  <c r="G7" i="4"/>
  <c r="G5" i="4"/>
  <c r="H7" i="10" a="1"/>
  <c r="H7" i="10" s="1"/>
  <c r="I7" i="10" a="1"/>
  <c r="I7" i="10" s="1"/>
  <c r="K6" i="7"/>
  <c r="L2" i="7"/>
  <c r="K4" i="7"/>
  <c r="K5" i="7"/>
  <c r="K21" i="5"/>
  <c r="K19" i="5"/>
  <c r="K17" i="5"/>
  <c r="K14" i="5"/>
  <c r="K11" i="5"/>
  <c r="K8" i="5"/>
  <c r="K6" i="5"/>
  <c r="K4" i="5"/>
  <c r="K18" i="5"/>
  <c r="K20" i="5"/>
  <c r="K10" i="5"/>
  <c r="K22" i="5"/>
  <c r="K16" i="5"/>
  <c r="K13" i="5"/>
  <c r="L2" i="5"/>
  <c r="K7" i="5"/>
  <c r="K5" i="5"/>
  <c r="K12" i="5"/>
  <c r="K9" i="5"/>
  <c r="K15" i="5"/>
  <c r="H26" i="2"/>
  <c r="H24" i="2"/>
  <c r="H18" i="2"/>
  <c r="H16" i="2"/>
  <c r="D16" i="2" s="1"/>
  <c r="H14" i="2"/>
  <c r="H10" i="2"/>
  <c r="H4" i="2"/>
  <c r="H27" i="2"/>
  <c r="H25" i="2"/>
  <c r="H23" i="2"/>
  <c r="C23" i="2" s="1" a="1"/>
  <c r="C23" i="2" s="1"/>
  <c r="H21" i="2"/>
  <c r="H19" i="2"/>
  <c r="C19" i="2" s="1" a="1"/>
  <c r="C19" i="2" s="1"/>
  <c r="H17" i="2"/>
  <c r="H15" i="2"/>
  <c r="H13" i="2"/>
  <c r="H11" i="2"/>
  <c r="H9" i="2"/>
  <c r="H7" i="2"/>
  <c r="D7" i="2" s="1"/>
  <c r="H5" i="2"/>
  <c r="H28" i="2"/>
  <c r="H22" i="2"/>
  <c r="H20" i="2"/>
  <c r="H12" i="2"/>
  <c r="H6" i="2"/>
  <c r="H8" i="2"/>
  <c r="L27" i="2"/>
  <c r="C27" i="2" s="1" a="1"/>
  <c r="C27" i="2" s="1"/>
  <c r="L21" i="2"/>
  <c r="L11" i="2"/>
  <c r="L7" i="2"/>
  <c r="L28" i="2"/>
  <c r="L26" i="2"/>
  <c r="L24" i="2"/>
  <c r="L22" i="2"/>
  <c r="L20" i="2"/>
  <c r="C20" i="2" s="1" a="1"/>
  <c r="C20" i="2" s="1"/>
  <c r="L18" i="2"/>
  <c r="D18" i="2" s="1"/>
  <c r="L16" i="2"/>
  <c r="L14" i="2"/>
  <c r="L12" i="2"/>
  <c r="D12" i="2" s="1"/>
  <c r="L10" i="2"/>
  <c r="D10" i="2" s="1"/>
  <c r="L8" i="2"/>
  <c r="L6" i="2"/>
  <c r="L4" i="2"/>
  <c r="D4" i="2" s="1"/>
  <c r="L25" i="2"/>
  <c r="L23" i="2"/>
  <c r="L19" i="2"/>
  <c r="L17" i="2"/>
  <c r="D17" i="2" s="1"/>
  <c r="L15" i="2"/>
  <c r="D15" i="2" s="1"/>
  <c r="L13" i="2"/>
  <c r="C13" i="2" s="1" a="1"/>
  <c r="C13" i="2" s="1"/>
  <c r="L9" i="2"/>
  <c r="L5" i="2"/>
  <c r="D5" i="2" s="1"/>
  <c r="G4" i="8"/>
  <c r="H2" i="8"/>
  <c r="G6" i="8"/>
  <c r="G5" i="8"/>
  <c r="H9" i="10" a="1"/>
  <c r="H9" i="10" s="1"/>
  <c r="I9" i="10" a="1"/>
  <c r="I9" i="10" s="1"/>
  <c r="I10" i="9" a="1"/>
  <c r="I10" i="9" s="1"/>
  <c r="H10" i="9" a="1"/>
  <c r="H10" i="9" s="1"/>
  <c r="I10" i="10" a="1"/>
  <c r="I10" i="10" s="1"/>
  <c r="H10" i="10" a="1"/>
  <c r="H10" i="10" s="1"/>
  <c r="I4" i="12" a="1"/>
  <c r="I4" i="12" s="1"/>
  <c r="H4" i="12" a="1"/>
  <c r="H4" i="12" s="1"/>
  <c r="H7" i="9" a="1"/>
  <c r="H7" i="9" s="1"/>
  <c r="I7" i="9" a="1"/>
  <c r="I7" i="9" s="1"/>
  <c r="H2" i="3"/>
  <c r="G8" i="3"/>
  <c r="G6" i="3"/>
  <c r="G4" i="3"/>
  <c r="G7" i="3"/>
  <c r="G5" i="3"/>
  <c r="H6" i="11" a="1"/>
  <c r="H6" i="11" s="1"/>
  <c r="I6" i="11" a="1"/>
  <c r="I6" i="11" s="1"/>
  <c r="I4" i="9" a="1"/>
  <c r="I4" i="9" s="1"/>
  <c r="H4" i="9" a="1"/>
  <c r="H4" i="9" s="1"/>
  <c r="H8" i="10" a="1"/>
  <c r="H8" i="10" s="1"/>
  <c r="I8" i="10" a="1"/>
  <c r="I8" i="10" s="1"/>
  <c r="H9" i="12" a="1"/>
  <c r="H9" i="12" s="1"/>
  <c r="I9" i="12" a="1"/>
  <c r="I9" i="12" s="1"/>
  <c r="H5" i="11" a="1"/>
  <c r="H5" i="11" s="1"/>
  <c r="I5" i="11" a="1"/>
  <c r="I5" i="11" s="1"/>
  <c r="I12" i="10" a="1"/>
  <c r="I12" i="10" s="1"/>
  <c r="H12" i="10" a="1"/>
  <c r="H12" i="10" s="1"/>
  <c r="I5" i="9" a="1"/>
  <c r="I5" i="9" s="1"/>
  <c r="H5" i="9" a="1"/>
  <c r="H5" i="9" s="1"/>
  <c r="I4" i="11" a="1"/>
  <c r="I4" i="11" s="1"/>
  <c r="H4" i="11" a="1"/>
  <c r="H4" i="11" s="1"/>
  <c r="H8" i="9" a="1"/>
  <c r="H8" i="9" s="1"/>
  <c r="I8" i="9" a="1"/>
  <c r="I8" i="9" s="1"/>
  <c r="I7" i="12" a="1"/>
  <c r="I7" i="12" s="1"/>
  <c r="H7" i="12" a="1"/>
  <c r="H7" i="12" s="1"/>
  <c r="I11" i="12" a="1"/>
  <c r="I11" i="12" s="1"/>
  <c r="H11" i="12" a="1"/>
  <c r="H11" i="12" s="1"/>
  <c r="I11" i="10" a="1"/>
  <c r="I11" i="10" s="1"/>
  <c r="H11" i="10" a="1"/>
  <c r="H11" i="10" s="1"/>
  <c r="I6" i="10" a="1"/>
  <c r="I6" i="10" s="1"/>
  <c r="H6" i="10" a="1"/>
  <c r="H6" i="10" s="1"/>
  <c r="G4" i="7"/>
  <c r="G6" i="7"/>
  <c r="H2" i="7"/>
  <c r="G5" i="7"/>
  <c r="D14" i="2"/>
  <c r="C14" i="2" a="1"/>
  <c r="C14" i="2" s="1"/>
  <c r="D22" i="2"/>
  <c r="C22" i="2" a="1"/>
  <c r="C22" i="2" s="1"/>
  <c r="D19" i="2"/>
  <c r="D4" i="6"/>
  <c r="C4" i="6" a="1"/>
  <c r="C4" i="6" s="1"/>
  <c r="D8" i="2"/>
  <c r="D24" i="2"/>
  <c r="C24" i="2" a="1"/>
  <c r="C24" i="2" s="1"/>
  <c r="H10" i="12" a="1"/>
  <c r="H10" i="12" s="1"/>
  <c r="I10" i="12" a="1"/>
  <c r="I10" i="12" s="1"/>
  <c r="I5" i="10" a="1"/>
  <c r="I5" i="10" s="1"/>
  <c r="H5" i="10" a="1"/>
  <c r="H5" i="10" s="1"/>
  <c r="H11" i="9" a="1"/>
  <c r="H11" i="9" s="1"/>
  <c r="I11" i="9" a="1"/>
  <c r="I11" i="9" s="1"/>
  <c r="I9" i="9" a="1"/>
  <c r="I9" i="9" s="1"/>
  <c r="H9" i="9" a="1"/>
  <c r="H9" i="9" s="1"/>
  <c r="I12" i="12" a="1"/>
  <c r="I12" i="12" s="1"/>
  <c r="H12" i="12" a="1"/>
  <c r="H12" i="12" s="1"/>
  <c r="I4" i="10" a="1"/>
  <c r="I4" i="10" s="1"/>
  <c r="H4" i="10" a="1"/>
  <c r="H4" i="10" s="1"/>
  <c r="I6" i="9" a="1"/>
  <c r="I6" i="9" s="1"/>
  <c r="H6" i="9" a="1"/>
  <c r="H6" i="9" s="1"/>
  <c r="H5" i="12" a="1"/>
  <c r="H5" i="12" s="1"/>
  <c r="I5" i="12" a="1"/>
  <c r="I5" i="12" s="1"/>
  <c r="A8" i="11"/>
  <c r="B7" i="11" a="1"/>
  <c r="B7" i="11" s="1"/>
  <c r="C7" i="11" s="1"/>
  <c r="J7" i="11" a="1"/>
  <c r="J7" i="11" s="1"/>
  <c r="F7" i="11" a="1"/>
  <c r="F7" i="11" s="1"/>
  <c r="D7" i="11" a="1"/>
  <c r="D7" i="11" s="1"/>
  <c r="G7" i="11" a="1"/>
  <c r="G7" i="11" s="1"/>
  <c r="E7" i="11" a="1"/>
  <c r="E7" i="11" s="1"/>
  <c r="L2" i="3"/>
  <c r="K7" i="3"/>
  <c r="K5" i="3"/>
  <c r="K4" i="3"/>
  <c r="K6" i="3"/>
  <c r="K8" i="3"/>
  <c r="H8" i="12" a="1"/>
  <c r="H8" i="12" s="1"/>
  <c r="I8" i="12" a="1"/>
  <c r="I8" i="12" s="1"/>
  <c r="H6" i="12" a="1"/>
  <c r="H6" i="12" s="1"/>
  <c r="I6" i="12" a="1"/>
  <c r="I6" i="12" s="1"/>
  <c r="K6" i="8"/>
  <c r="L2" i="8"/>
  <c r="K5" i="8"/>
  <c r="K4" i="8"/>
  <c r="D21" i="2"/>
  <c r="C21" i="2" a="1"/>
  <c r="C21" i="2" s="1"/>
  <c r="C16" i="2" l="1" a="1"/>
  <c r="C16" i="2" s="1"/>
  <c r="C7" i="2" a="1"/>
  <c r="C7" i="2" s="1"/>
  <c r="D23" i="2"/>
  <c r="D27" i="2"/>
  <c r="D28" i="2"/>
  <c r="D20" i="2"/>
  <c r="C28" i="2" a="1"/>
  <c r="C28" i="2" s="1"/>
  <c r="C4" i="2" a="1"/>
  <c r="C4" i="2" s="1"/>
  <c r="C5" i="2" a="1"/>
  <c r="C5" i="2" s="1"/>
  <c r="C8" i="2" a="1"/>
  <c r="C8" i="2" s="1"/>
  <c r="D13" i="2"/>
  <c r="D9" i="2"/>
  <c r="D25" i="2"/>
  <c r="D26" i="2"/>
  <c r="D6" i="2"/>
  <c r="D11" i="2"/>
  <c r="C10" i="2" a="1"/>
  <c r="C10" i="2" s="1"/>
  <c r="L22" i="5"/>
  <c r="L20" i="5"/>
  <c r="L18" i="5"/>
  <c r="L16" i="5"/>
  <c r="L14" i="5"/>
  <c r="L12" i="5"/>
  <c r="L10" i="5"/>
  <c r="L11" i="5"/>
  <c r="L8" i="5"/>
  <c r="D8" i="5" s="1"/>
  <c r="L6" i="5"/>
  <c r="L4" i="5"/>
  <c r="L19" i="5"/>
  <c r="L17" i="5"/>
  <c r="C17" i="5" s="1" a="1"/>
  <c r="C17" i="5" s="1"/>
  <c r="L21" i="5"/>
  <c r="L13" i="5"/>
  <c r="D13" i="5" s="1"/>
  <c r="L7" i="5"/>
  <c r="L5" i="5"/>
  <c r="L9" i="5"/>
  <c r="L15" i="5"/>
  <c r="I7" i="11" a="1"/>
  <c r="I7" i="11" s="1"/>
  <c r="H7" i="11" a="1"/>
  <c r="H7" i="11" s="1"/>
  <c r="C25" i="2" a="1"/>
  <c r="C25" i="2" s="1"/>
  <c r="H4" i="8"/>
  <c r="H6" i="8"/>
  <c r="H5" i="8"/>
  <c r="D5" i="8" s="1"/>
  <c r="C9" i="2" a="1"/>
  <c r="C9" i="2" s="1"/>
  <c r="C6" i="2" a="1"/>
  <c r="C6" i="2" s="1"/>
  <c r="C17" i="2" a="1"/>
  <c r="C17" i="2" s="1"/>
  <c r="H8" i="3"/>
  <c r="H6" i="3"/>
  <c r="H4" i="3"/>
  <c r="H7" i="3"/>
  <c r="H5" i="3"/>
  <c r="C26" i="2" a="1"/>
  <c r="C26" i="2" s="1"/>
  <c r="H19" i="4"/>
  <c r="D19" i="4" s="1"/>
  <c r="H17" i="4"/>
  <c r="H15" i="4"/>
  <c r="H13" i="4"/>
  <c r="H11" i="4"/>
  <c r="H9" i="4"/>
  <c r="H7" i="4"/>
  <c r="H5" i="4"/>
  <c r="D5" i="4" s="1"/>
  <c r="H14" i="4"/>
  <c r="H6" i="4"/>
  <c r="H16" i="4"/>
  <c r="H8" i="4"/>
  <c r="H12" i="4"/>
  <c r="H18" i="4"/>
  <c r="D18" i="4" s="1"/>
  <c r="H10" i="4"/>
  <c r="H4" i="4"/>
  <c r="H20" i="4"/>
  <c r="H5" i="7"/>
  <c r="H6" i="7"/>
  <c r="C6" i="7" s="1" a="1"/>
  <c r="C6" i="7" s="1"/>
  <c r="H4" i="7"/>
  <c r="D4" i="7" s="1"/>
  <c r="C12" i="2" a="1"/>
  <c r="C12" i="2" s="1"/>
  <c r="C15" i="2" a="1"/>
  <c r="C15" i="2" s="1"/>
  <c r="E8" i="11" a="1"/>
  <c r="E8" i="11" s="1"/>
  <c r="D8" i="11" a="1"/>
  <c r="D8" i="11" s="1"/>
  <c r="A9" i="11"/>
  <c r="B8" i="11" a="1"/>
  <c r="B8" i="11" s="1"/>
  <c r="C8" i="11" s="1"/>
  <c r="J8" i="11" a="1"/>
  <c r="J8" i="11" s="1"/>
  <c r="G8" i="11" a="1"/>
  <c r="G8" i="11" s="1"/>
  <c r="F8" i="11" a="1"/>
  <c r="F8" i="11" s="1"/>
  <c r="A4" i="6"/>
  <c r="F1" i="6"/>
  <c r="C18" i="2" a="1"/>
  <c r="C18" i="2" s="1"/>
  <c r="C11" i="2" a="1"/>
  <c r="C11" i="2" s="1"/>
  <c r="L7" i="3"/>
  <c r="C7" i="3" s="1" a="1"/>
  <c r="C7" i="3" s="1"/>
  <c r="L5" i="3"/>
  <c r="L4" i="3"/>
  <c r="L6" i="3"/>
  <c r="L8" i="3"/>
  <c r="C13" i="5" l="1" a="1"/>
  <c r="C13" i="5" s="1"/>
  <c r="C5" i="8" a="1"/>
  <c r="C5" i="8" s="1"/>
  <c r="A22" i="2"/>
  <c r="D7" i="3"/>
  <c r="D4" i="3"/>
  <c r="F1" i="2"/>
  <c r="D8" i="3"/>
  <c r="C18" i="4" a="1"/>
  <c r="C18" i="4" s="1"/>
  <c r="A16" i="2"/>
  <c r="A21" i="2"/>
  <c r="A6" i="2"/>
  <c r="A28" i="2"/>
  <c r="D5" i="3"/>
  <c r="D20" i="4"/>
  <c r="C20" i="4" a="1"/>
  <c r="C20" i="4" s="1"/>
  <c r="D5" i="7"/>
  <c r="C5" i="7" a="1"/>
  <c r="C5" i="7" s="1"/>
  <c r="A13" i="2"/>
  <c r="D6" i="4"/>
  <c r="C6" i="4" a="1"/>
  <c r="C6" i="4" s="1"/>
  <c r="C17" i="4" a="1"/>
  <c r="C17" i="4" s="1"/>
  <c r="D17" i="4"/>
  <c r="A17" i="2"/>
  <c r="C4" i="8" a="1"/>
  <c r="C4" i="8" s="1"/>
  <c r="D4" i="8"/>
  <c r="A19" i="2"/>
  <c r="C9" i="5" a="1"/>
  <c r="C9" i="5" s="1"/>
  <c r="D9" i="5"/>
  <c r="D6" i="5"/>
  <c r="C6" i="5" a="1"/>
  <c r="C6" i="5" s="1"/>
  <c r="D20" i="5"/>
  <c r="C20" i="5" a="1"/>
  <c r="C20" i="5" s="1"/>
  <c r="A7" i="2"/>
  <c r="D22" i="5"/>
  <c r="C22" i="5" a="1"/>
  <c r="C22" i="5" s="1"/>
  <c r="A4" i="2"/>
  <c r="A11" i="2"/>
  <c r="A27" i="2"/>
  <c r="D4" i="4"/>
  <c r="C4" i="4" a="1"/>
  <c r="C4" i="4" s="1"/>
  <c r="A26" i="2"/>
  <c r="C8" i="5" a="1"/>
  <c r="C8" i="5" s="1"/>
  <c r="A20" i="2"/>
  <c r="D7" i="5"/>
  <c r="C7" i="5" a="1"/>
  <c r="C7" i="5" s="1"/>
  <c r="D11" i="5"/>
  <c r="C11" i="5" a="1"/>
  <c r="C11" i="5" s="1"/>
  <c r="A10" i="2"/>
  <c r="D17" i="5"/>
  <c r="D14" i="4"/>
  <c r="C14" i="4" a="1"/>
  <c r="C14" i="4" s="1"/>
  <c r="A18" i="2"/>
  <c r="D9" i="11" a="1"/>
  <c r="D9" i="11" s="1"/>
  <c r="G9" i="11" a="1"/>
  <c r="G9" i="11" s="1"/>
  <c r="J9" i="11" a="1"/>
  <c r="J9" i="11" s="1"/>
  <c r="F9" i="11" a="1"/>
  <c r="F9" i="11" s="1"/>
  <c r="E9" i="11" a="1"/>
  <c r="E9" i="11" s="1"/>
  <c r="A10" i="11"/>
  <c r="B9" i="11" a="1"/>
  <c r="B9" i="11" s="1"/>
  <c r="C9" i="11" s="1"/>
  <c r="A15" i="2"/>
  <c r="D10" i="4"/>
  <c r="C10" i="4" a="1"/>
  <c r="C10" i="4" s="1"/>
  <c r="C7" i="4" a="1"/>
  <c r="C7" i="4" s="1"/>
  <c r="D7" i="4"/>
  <c r="A5" i="2"/>
  <c r="C5" i="3" a="1"/>
  <c r="C5" i="3" s="1"/>
  <c r="D10" i="5"/>
  <c r="C10" i="5" a="1"/>
  <c r="C10" i="5" s="1"/>
  <c r="C5" i="5" a="1"/>
  <c r="C5" i="5" s="1"/>
  <c r="D5" i="5"/>
  <c r="I8" i="11" a="1"/>
  <c r="I8" i="11" s="1"/>
  <c r="H8" i="11" a="1"/>
  <c r="H8" i="11" s="1"/>
  <c r="A12" i="2"/>
  <c r="C9" i="4" a="1"/>
  <c r="C9" i="4" s="1"/>
  <c r="D9" i="4"/>
  <c r="A24" i="2"/>
  <c r="A23" i="2"/>
  <c r="C21" i="5" a="1"/>
  <c r="C21" i="5" s="1"/>
  <c r="D21" i="5"/>
  <c r="C12" i="5" a="1"/>
  <c r="C12" i="5" s="1"/>
  <c r="D12" i="5"/>
  <c r="C5" i="4" a="1"/>
  <c r="C5" i="4" s="1"/>
  <c r="D12" i="4"/>
  <c r="C12" i="4" a="1"/>
  <c r="C12" i="4" s="1"/>
  <c r="C11" i="4" a="1"/>
  <c r="C11" i="4" s="1"/>
  <c r="D11" i="4"/>
  <c r="A9" i="2"/>
  <c r="A25" i="2"/>
  <c r="C4" i="3" a="1"/>
  <c r="C4" i="3" s="1"/>
  <c r="D14" i="5"/>
  <c r="C14" i="5" a="1"/>
  <c r="C14" i="5" s="1"/>
  <c r="D8" i="4"/>
  <c r="C8" i="4" a="1"/>
  <c r="C8" i="4" s="1"/>
  <c r="C13" i="4" a="1"/>
  <c r="C13" i="4" s="1"/>
  <c r="D13" i="4"/>
  <c r="C6" i="3" a="1"/>
  <c r="C6" i="3" s="1"/>
  <c r="D6" i="3"/>
  <c r="A14" i="2"/>
  <c r="A8" i="2"/>
  <c r="C19" i="5" a="1"/>
  <c r="C19" i="5" s="1"/>
  <c r="D19" i="5"/>
  <c r="D16" i="5"/>
  <c r="C16" i="5" a="1"/>
  <c r="C16" i="5" s="1"/>
  <c r="C4" i="7" a="1"/>
  <c r="C4" i="7" s="1"/>
  <c r="A6" i="7" s="1"/>
  <c r="C19" i="4" a="1"/>
  <c r="C19" i="4" s="1"/>
  <c r="D16" i="4"/>
  <c r="C16" i="4" a="1"/>
  <c r="C16" i="4" s="1"/>
  <c r="C15" i="4" a="1"/>
  <c r="C15" i="4" s="1"/>
  <c r="D15" i="4"/>
  <c r="C8" i="3" a="1"/>
  <c r="C8" i="3" s="1"/>
  <c r="D6" i="8"/>
  <c r="C6" i="8" a="1"/>
  <c r="C6" i="8" s="1"/>
  <c r="C15" i="5" a="1"/>
  <c r="C15" i="5" s="1"/>
  <c r="D15" i="5"/>
  <c r="C4" i="5" a="1"/>
  <c r="C4" i="5" s="1"/>
  <c r="D4" i="5"/>
  <c r="D18" i="5"/>
  <c r="C18" i="5" a="1"/>
  <c r="C18" i="5" s="1"/>
  <c r="D6" i="7"/>
  <c r="A6" i="8" l="1"/>
  <c r="A17" i="5"/>
  <c r="A12" i="5"/>
  <c r="A8" i="4"/>
  <c r="A18" i="5"/>
  <c r="A8" i="3"/>
  <c r="A13" i="4"/>
  <c r="A8" i="5"/>
  <c r="A9" i="5"/>
  <c r="A18" i="4"/>
  <c r="A5" i="8"/>
  <c r="A15" i="4"/>
  <c r="A19" i="5"/>
  <c r="A7" i="4"/>
  <c r="F1" i="4"/>
  <c r="A4" i="4"/>
  <c r="F1" i="3"/>
  <c r="A4" i="3"/>
  <c r="A16" i="4"/>
  <c r="A21" i="5"/>
  <c r="A10" i="4"/>
  <c r="A11" i="5"/>
  <c r="A20" i="5"/>
  <c r="F1" i="8"/>
  <c r="A4" i="8"/>
  <c r="A5" i="7"/>
  <c r="F1" i="5"/>
  <c r="A4" i="5"/>
  <c r="A5" i="5"/>
  <c r="H9" i="11" a="1"/>
  <c r="H9" i="11" s="1"/>
  <c r="I9" i="11" a="1"/>
  <c r="I9" i="11" s="1"/>
  <c r="A15" i="5"/>
  <c r="A19" i="4"/>
  <c r="A11" i="4"/>
  <c r="A10" i="5"/>
  <c r="A13" i="5"/>
  <c r="A7" i="5"/>
  <c r="A6" i="5"/>
  <c r="A20" i="4"/>
  <c r="A14" i="5"/>
  <c r="A12" i="4"/>
  <c r="A17" i="4"/>
  <c r="F1" i="7"/>
  <c r="A4" i="7"/>
  <c r="A6" i="3"/>
  <c r="A16" i="5"/>
  <c r="A5" i="4"/>
  <c r="A9" i="4"/>
  <c r="A5" i="3"/>
  <c r="G10" i="11" a="1"/>
  <c r="G10" i="11" s="1"/>
  <c r="A11" i="11"/>
  <c r="B10" i="11" a="1"/>
  <c r="B10" i="11" s="1"/>
  <c r="C10" i="11" s="1"/>
  <c r="J10" i="11" a="1"/>
  <c r="J10" i="11" s="1"/>
  <c r="F10" i="11" a="1"/>
  <c r="F10" i="11" s="1"/>
  <c r="E10" i="11" a="1"/>
  <c r="E10" i="11" s="1"/>
  <c r="D10" i="11" a="1"/>
  <c r="D10" i="11" s="1"/>
  <c r="A14" i="4"/>
  <c r="A22" i="5"/>
  <c r="A6" i="4"/>
  <c r="A7" i="3"/>
  <c r="A12" i="11" l="1"/>
  <c r="B11" i="11" a="1"/>
  <c r="B11" i="11" s="1"/>
  <c r="C11" i="11" s="1"/>
  <c r="J11" i="11" a="1"/>
  <c r="J11" i="11" s="1"/>
  <c r="F11" i="11" a="1"/>
  <c r="F11" i="11" s="1"/>
  <c r="E11" i="11" a="1"/>
  <c r="E11" i="11" s="1"/>
  <c r="G11" i="11" a="1"/>
  <c r="G11" i="11" s="1"/>
  <c r="D11" i="11" a="1"/>
  <c r="D11" i="11" s="1"/>
  <c r="I10" i="11" a="1"/>
  <c r="I10" i="11" s="1"/>
  <c r="H10" i="11" a="1"/>
  <c r="H10" i="11" s="1"/>
  <c r="I11" i="11" l="1" a="1"/>
  <c r="I11" i="11" s="1"/>
  <c r="H11" i="11" a="1"/>
  <c r="H11" i="11" s="1"/>
  <c r="E12" i="11" a="1"/>
  <c r="E12" i="11" s="1"/>
  <c r="D12" i="11" a="1"/>
  <c r="D12" i="11" s="1"/>
  <c r="G12" i="11" a="1"/>
  <c r="G12" i="11" s="1"/>
  <c r="F12" i="11" a="1"/>
  <c r="F12" i="11" s="1"/>
  <c r="A13" i="11"/>
  <c r="B12" i="11" a="1"/>
  <c r="B12" i="11" s="1"/>
  <c r="C12" i="11" s="1"/>
  <c r="J12" i="11" a="1"/>
  <c r="J12" i="11" s="1"/>
  <c r="D13" i="11" l="1" a="1"/>
  <c r="D13" i="11" s="1"/>
  <c r="G13" i="11" a="1"/>
  <c r="G13" i="11" s="1"/>
  <c r="F13" i="11" a="1"/>
  <c r="F13" i="11" s="1"/>
  <c r="E13" i="11" a="1"/>
  <c r="E13" i="11" s="1"/>
  <c r="A14" i="11"/>
  <c r="B13" i="11" a="1"/>
  <c r="B13" i="11" s="1"/>
  <c r="C13" i="11" s="1"/>
  <c r="J13" i="11" a="1"/>
  <c r="J13" i="11" s="1"/>
  <c r="I12" i="11" a="1"/>
  <c r="I12" i="11" s="1"/>
  <c r="H12" i="11" a="1"/>
  <c r="H12" i="11" s="1"/>
  <c r="G14" i="11" l="1" a="1"/>
  <c r="G14" i="11" s="1"/>
  <c r="A15" i="11"/>
  <c r="B14" i="11" a="1"/>
  <c r="B14" i="11" s="1"/>
  <c r="C14" i="11" s="1"/>
  <c r="J14" i="11" a="1"/>
  <c r="J14" i="11" s="1"/>
  <c r="F14" i="11" a="1"/>
  <c r="F14" i="11" s="1"/>
  <c r="E14" i="11" a="1"/>
  <c r="E14" i="11" s="1"/>
  <c r="D14" i="11" a="1"/>
  <c r="D14" i="11" s="1"/>
  <c r="H13" i="11" a="1"/>
  <c r="H13" i="11" s="1"/>
  <c r="I13" i="11" a="1"/>
  <c r="I13" i="11" s="1"/>
  <c r="I14" i="11" l="1" a="1"/>
  <c r="I14" i="11" s="1"/>
  <c r="H14" i="11" a="1"/>
  <c r="H14" i="11" s="1"/>
  <c r="A16" i="11"/>
  <c r="B15" i="11" a="1"/>
  <c r="B15" i="11" s="1"/>
  <c r="C15" i="11" s="1"/>
  <c r="J15" i="11" a="1"/>
  <c r="J15" i="11" s="1"/>
  <c r="F15" i="11" a="1"/>
  <c r="F15" i="11" s="1"/>
  <c r="E15" i="11" a="1"/>
  <c r="E15" i="11" s="1"/>
  <c r="D15" i="11" a="1"/>
  <c r="D15" i="11" s="1"/>
  <c r="G15" i="11" a="1"/>
  <c r="G15" i="11" s="1"/>
  <c r="E16" i="11" l="1" a="1"/>
  <c r="E16" i="11" s="1"/>
  <c r="D16" i="11" a="1"/>
  <c r="D16" i="11" s="1"/>
  <c r="B16" i="11" a="1"/>
  <c r="B16" i="11" s="1"/>
  <c r="C16" i="11" s="1"/>
  <c r="J16" i="11" a="1"/>
  <c r="J16" i="11" s="1"/>
  <c r="G16" i="11" a="1"/>
  <c r="G16" i="11" s="1"/>
  <c r="F16" i="11" a="1"/>
  <c r="F16" i="11" s="1"/>
  <c r="I15" i="11" a="1"/>
  <c r="I15" i="11" s="1"/>
  <c r="H15" i="11" a="1"/>
  <c r="H15" i="11" s="1"/>
  <c r="I16" i="11" l="1" a="1"/>
  <c r="I16" i="11" s="1"/>
  <c r="H16" i="11" a="1"/>
  <c r="H16" i="11" s="1"/>
</calcChain>
</file>

<file path=xl/sharedStrings.xml><?xml version="1.0" encoding="utf-8"?>
<sst xmlns="http://schemas.openxmlformats.org/spreadsheetml/2006/main" count="158" uniqueCount="56">
  <si>
    <t>Add to League?</t>
  </si>
  <si>
    <t>League</t>
  </si>
  <si>
    <t>Non-aero</t>
  </si>
  <si>
    <t>Wom</t>
  </si>
  <si>
    <t>Vet</t>
  </si>
  <si>
    <t>Jun</t>
  </si>
  <si>
    <t>You</t>
  </si>
  <si>
    <t>2025 Saturday League - Scratch:</t>
  </si>
  <si>
    <t>Events to Count</t>
  </si>
  <si>
    <t>Pos</t>
  </si>
  <si>
    <t>Rider</t>
  </si>
  <si>
    <t>Total</t>
  </si>
  <si>
    <t>Events</t>
  </si>
  <si>
    <t>Ben Pennington</t>
  </si>
  <si>
    <t>Andy Merchant</t>
  </si>
  <si>
    <t>Adam Jones</t>
  </si>
  <si>
    <t>Simon Gretton</t>
  </si>
  <si>
    <t>Chris Smith</t>
  </si>
  <si>
    <t>Elaine Cotton</t>
  </si>
  <si>
    <t>Marc Brant</t>
  </si>
  <si>
    <t>Danny Jago</t>
  </si>
  <si>
    <t>Paul White</t>
  </si>
  <si>
    <t>Tony Gowers</t>
  </si>
  <si>
    <t>Simon Smith</t>
  </si>
  <si>
    <t>Lloyd Simpson</t>
  </si>
  <si>
    <t>Isaac Phillips</t>
  </si>
  <si>
    <t>Philip Brant</t>
  </si>
  <si>
    <t>Alex Childs</t>
  </si>
  <si>
    <t>Stuart Jago</t>
  </si>
  <si>
    <t>John-Paul Paduarno</t>
  </si>
  <si>
    <t>Paul Gribbon</t>
  </si>
  <si>
    <t>Carol Cartwright</t>
  </si>
  <si>
    <t>Lauren Ashby</t>
  </si>
  <si>
    <t>2025 Saturday League - Women:</t>
  </si>
  <si>
    <t>2025 Saturday League - NonAero:</t>
  </si>
  <si>
    <t>2025 Saturday League - Vets:</t>
  </si>
  <si>
    <t>2023 Saturday League - Hand Cycles:</t>
  </si>
  <si>
    <t>2023 Saturday League - Youth:</t>
  </si>
  <si>
    <t>Saturday 7, Canewdon E36</t>
  </si>
  <si>
    <t>Name</t>
  </si>
  <si>
    <t>Club</t>
  </si>
  <si>
    <t>Category</t>
  </si>
  <si>
    <t>Time</t>
  </si>
  <si>
    <t>Non-aero Rank</t>
  </si>
  <si>
    <t>Vet adjusted Time</t>
  </si>
  <si>
    <t>Vet Rank</t>
  </si>
  <si>
    <t>Notes</t>
  </si>
  <si>
    <t>Matt Steel</t>
  </si>
  <si>
    <t>Pronto</t>
  </si>
  <si>
    <t>Matt Saunders</t>
  </si>
  <si>
    <t>Team Vision</t>
  </si>
  <si>
    <t>Simon Philips</t>
  </si>
  <si>
    <t>C&amp;T</t>
  </si>
  <si>
    <t>Matt Steele</t>
  </si>
  <si>
    <t>Fastest Rider</t>
  </si>
  <si>
    <t>2025 Saturday League - Junior: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</si>
</sst>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&quot;/&quot;mm&quot;/&quot;yyyy"/>
    <numFmt numFmtId="165" formatCode="0.000000"/>
    <numFmt numFmtId="166" formatCode="dd\ mmm"/>
    <numFmt numFmtId="167" formatCode="d\ mmm"/>
    <numFmt numFmtId="168" formatCode="dd&quot; &quot;mmm&quot; &quot;yy"/>
    <numFmt numFmtId="169" formatCode="ddd&quot;, &quot;dd&quot; &quot;mmm&quot; &quot;yyyy"/>
  </numFmts>
  <fonts count="13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1"/>
      <color theme="0"/>
      <name val="Inconsolata"/>
    </font>
    <font>
      <sz val="10"/>
      <color theme="1"/>
      <name val="Arial"/>
      <scheme val="minor"/>
    </font>
    <font>
      <b/>
      <sz val="10"/>
      <color rgb="FF000000"/>
      <name val="Arial"/>
    </font>
    <font>
      <sz val="10"/>
      <color rgb="FF000000"/>
      <name val="Arial"/>
      <scheme val="minor"/>
    </font>
    <font>
      <sz val="11"/>
      <color rgb="FFF3F3F3"/>
      <name val="Inconsolata"/>
    </font>
    <font>
      <sz val="10"/>
      <color rgb="FFFFFFFF"/>
      <name val="Arial"/>
    </font>
    <font>
      <sz val="10"/>
      <color rgb="FF000000"/>
      <name val="Arial"/>
    </font>
    <font>
      <b/>
      <sz val="14"/>
      <color theme="1"/>
      <name val="Arial"/>
    </font>
    <font>
      <sz val="10"/>
      <color rgb="FFFFFFFF"/>
      <name val="Arial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164" fontId="1" fillId="0" borderId="0" xfId="0" applyNumberFormat="1" applyFont="1"/>
    <xf numFmtId="21" fontId="1" fillId="0" borderId="0" xfId="0" applyNumberFormat="1" applyFont="1"/>
    <xf numFmtId="0" fontId="1" fillId="0" borderId="0" xfId="0" applyFont="1" applyAlignment="1">
      <alignment horizontal="center"/>
    </xf>
    <xf numFmtId="21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6" fontId="1" fillId="0" borderId="1" xfId="0" applyNumberFormat="1" applyFont="1" applyBorder="1"/>
    <xf numFmtId="0" fontId="3" fillId="3" borderId="0" xfId="0" applyFont="1" applyFill="1"/>
    <xf numFmtId="4" fontId="1" fillId="0" borderId="1" xfId="0" applyNumberFormat="1" applyFont="1" applyBorder="1"/>
    <xf numFmtId="167" fontId="1" fillId="0" borderId="1" xfId="0" applyNumberFormat="1" applyFont="1" applyBorder="1"/>
    <xf numFmtId="0" fontId="2" fillId="4" borderId="1" xfId="0" applyFont="1" applyFill="1" applyBorder="1" applyAlignment="1">
      <alignment horizontal="center"/>
    </xf>
    <xf numFmtId="168" fontId="2" fillId="4" borderId="1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3" borderId="1" xfId="0" applyFont="1" applyFill="1" applyBorder="1" applyAlignment="1">
      <alignment horizontal="center"/>
    </xf>
    <xf numFmtId="0" fontId="4" fillId="0" borderId="1" xfId="0" applyFont="1" applyBorder="1"/>
    <xf numFmtId="0" fontId="2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/>
    <xf numFmtId="0" fontId="7" fillId="3" borderId="0" xfId="0" applyFont="1" applyFill="1"/>
    <xf numFmtId="0" fontId="4" fillId="0" borderId="0" xfId="0" applyFont="1"/>
    <xf numFmtId="0" fontId="1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1" fillId="0" borderId="0" xfId="0" applyFont="1"/>
    <xf numFmtId="0" fontId="2" fillId="4" borderId="1" xfId="0" applyFont="1" applyFill="1" applyBorder="1" applyAlignment="1">
      <alignment horizontal="center" vertical="top" wrapText="1"/>
    </xf>
    <xf numFmtId="21" fontId="2" fillId="4" borderId="1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21" fontId="1" fillId="0" borderId="1" xfId="0" applyNumberFormat="1" applyFont="1" applyBorder="1" applyAlignment="1">
      <alignment horizontal="center"/>
    </xf>
    <xf numFmtId="21" fontId="1" fillId="0" borderId="1" xfId="0" applyNumberFormat="1" applyFont="1" applyBorder="1"/>
    <xf numFmtId="169" fontId="10" fillId="4" borderId="0" xfId="0" applyNumberFormat="1" applyFont="1" applyFill="1" applyAlignment="1">
      <alignment horizontal="center"/>
    </xf>
    <xf numFmtId="0" fontId="0" fillId="0" borderId="0" xfId="0"/>
    <xf numFmtId="0" fontId="10" fillId="4" borderId="3" xfId="0" applyFont="1" applyFill="1" applyBorder="1" applyAlignment="1">
      <alignment horizontal="center"/>
    </xf>
    <xf numFmtId="0" fontId="12" fillId="0" borderId="4" xfId="0" applyFont="1" applyBorder="1"/>
    <xf numFmtId="0" fontId="12" fillId="0" borderId="2" xfId="0" applyFont="1" applyBorder="1"/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17"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1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9900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M1000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 x14ac:dyDescent="0.2"/>
  <cols>
    <col min="1" max="6" width="5.85546875" customWidth="1"/>
    <col min="7" max="13" width="8.42578125" customWidth="1"/>
    <col min="14" max="14" width="21.28515625" customWidth="1"/>
    <col min="15" max="15" width="10.7109375" customWidth="1"/>
    <col min="16" max="39" width="8.42578125" customWidth="1"/>
  </cols>
  <sheetData>
    <row r="1" spans="1:39" x14ac:dyDescent="0.2">
      <c r="A1" s="1" t="s">
        <v>0</v>
      </c>
      <c r="B1" s="1"/>
      <c r="C1" s="1"/>
      <c r="D1" s="2"/>
      <c r="E1" s="2"/>
      <c r="F1" s="2"/>
      <c r="G1" s="3" t="str">
        <f ca="1">IFERROR(__xludf.DUMMYFUNCTION("importrange(""https://docs.google.com/spreadsheets/d/1QRbayNqWE2_zrRoG-1XpxIbt-qnfZQ-bzbvd9dyeWyk/edit#gid=573164378"",""Sat_League!A:AG"")"),"")</f>
        <v/>
      </c>
      <c r="H1" s="3" t="str">
        <f ca="1">IFERROR(__xludf.DUMMYFUNCTION("""COMPUTED_VALUE"""),"Ref")</f>
        <v>Ref</v>
      </c>
      <c r="I1" s="3"/>
      <c r="J1" s="3"/>
      <c r="K1" s="3"/>
      <c r="L1" s="3"/>
      <c r="M1" s="3"/>
      <c r="N1" s="4">
        <f ca="1">IFERROR(__xludf.DUMMYFUNCTION("""COMPUTED_VALUE"""),0)</f>
        <v>0</v>
      </c>
      <c r="O1" s="4">
        <f ca="1">IFERROR(__xludf.DUMMYFUNCTION("""COMPUTED_VALUE"""),21)</f>
        <v>21</v>
      </c>
      <c r="P1" s="4">
        <f ca="1">IFERROR(__xludf.DUMMYFUNCTION("""COMPUTED_VALUE"""),1)</f>
        <v>1</v>
      </c>
      <c r="Q1" s="4">
        <f ca="1">IFERROR(__xludf.DUMMYFUNCTION("""COMPUTED_VALUE"""),2)</f>
        <v>2</v>
      </c>
      <c r="R1" s="4">
        <f ca="1">IFERROR(__xludf.DUMMYFUNCTION("""COMPUTED_VALUE"""),26)</f>
        <v>26</v>
      </c>
      <c r="S1" s="4">
        <f ca="1">IFERROR(__xludf.DUMMYFUNCTION("""COMPUTED_VALUE"""),22)</f>
        <v>22</v>
      </c>
      <c r="T1" s="4">
        <f ca="1">IFERROR(__xludf.DUMMYFUNCTION("""COMPUTED_VALUE"""),37)</f>
        <v>37</v>
      </c>
      <c r="U1" s="4">
        <f ca="1">IFERROR(__xludf.DUMMYFUNCTION("""COMPUTED_VALUE"""),38)</f>
        <v>38</v>
      </c>
      <c r="V1" s="4">
        <f ca="1">IFERROR(__xludf.DUMMYFUNCTION("""COMPUTED_VALUE"""),28)</f>
        <v>28</v>
      </c>
      <c r="W1" s="4">
        <f ca="1">IFERROR(__xludf.DUMMYFUNCTION("""COMPUTED_VALUE"""),29)</f>
        <v>29</v>
      </c>
      <c r="X1" s="4">
        <f ca="1">IFERROR(__xludf.DUMMYFUNCTION("""COMPUTED_VALUE"""),30)</f>
        <v>30</v>
      </c>
      <c r="Y1" s="4">
        <f ca="1">IFERROR(__xludf.DUMMYFUNCTION("""COMPUTED_VALUE"""),31)</f>
        <v>31</v>
      </c>
      <c r="Z1" s="4">
        <f ca="1">IFERROR(__xludf.DUMMYFUNCTION("""COMPUTED_VALUE"""),32)</f>
        <v>32</v>
      </c>
      <c r="AA1" s="4">
        <f ca="1">IFERROR(__xludf.DUMMYFUNCTION("""COMPUTED_VALUE"""),33)</f>
        <v>33</v>
      </c>
      <c r="AB1" s="4">
        <f ca="1">IFERROR(__xludf.DUMMYFUNCTION("""COMPUTED_VALUE"""),34)</f>
        <v>34</v>
      </c>
      <c r="AC1" s="4">
        <f ca="1">IFERROR(__xludf.DUMMYFUNCTION("""COMPUTED_VALUE"""),35)</f>
        <v>35</v>
      </c>
      <c r="AD1" s="4">
        <f ca="1">IFERROR(__xludf.DUMMYFUNCTION("""COMPUTED_VALUE"""),36)</f>
        <v>36</v>
      </c>
      <c r="AE1" s="4">
        <f ca="1">IFERROR(__xludf.DUMMYFUNCTION("""COMPUTED_VALUE"""),42)</f>
        <v>42</v>
      </c>
      <c r="AF1" s="4">
        <f ca="1">IFERROR(__xludf.DUMMYFUNCTION("""COMPUTED_VALUE"""),41)</f>
        <v>41</v>
      </c>
      <c r="AG1" s="4">
        <f ca="1">IFERROR(__xludf.DUMMYFUNCTION("""COMPUTED_VALUE"""),39)</f>
        <v>39</v>
      </c>
      <c r="AH1" s="4">
        <f ca="1">IFERROR(__xludf.DUMMYFUNCTION("""COMPUTED_VALUE"""),40)</f>
        <v>40</v>
      </c>
      <c r="AI1" s="4">
        <f ca="1">IFERROR(__xludf.DUMMYFUNCTION("""COMPUTED_VALUE"""),5)</f>
        <v>5</v>
      </c>
      <c r="AJ1" s="4">
        <f ca="1">IFERROR(__xludf.DUMMYFUNCTION("""COMPUTED_VALUE"""),9)</f>
        <v>9</v>
      </c>
      <c r="AK1" s="4">
        <f ca="1">IFERROR(__xludf.DUMMYFUNCTION("""COMPUTED_VALUE"""),10)</f>
        <v>10</v>
      </c>
      <c r="AL1" s="4">
        <f ca="1">IFERROR(__xludf.DUMMYFUNCTION("""COMPUTED_VALUE"""),11)</f>
        <v>11</v>
      </c>
      <c r="AM1" s="4">
        <f ca="1">IFERROR(__xludf.DUMMYFUNCTION("""COMPUTED_VALUE"""),12)</f>
        <v>12</v>
      </c>
    </row>
    <row r="2" spans="1:39" x14ac:dyDescent="0.2">
      <c r="A2" s="2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3" t="str">
        <f ca="1">IFERROR(__xludf.DUMMYFUNCTION("""COMPUTED_VALUE"""),"Race Ref")</f>
        <v>Race Ref</v>
      </c>
      <c r="H2" s="3"/>
      <c r="I2" s="3" t="str">
        <f ca="1">IFERROR(__xludf.DUMMYFUNCTION("""COMPUTED_VALUE"""),"Riders")</f>
        <v>Riders</v>
      </c>
      <c r="J2" s="3" t="str">
        <f ca="1">IFERROR(__xludf.DUMMYFUNCTION("""COMPUTED_VALUE"""),"League")</f>
        <v>League</v>
      </c>
      <c r="K2" s="6" t="str">
        <f ca="1">IFERROR(__xludf.DUMMYFUNCTION("""COMPUTED_VALUE"""),"Date")</f>
        <v>Date</v>
      </c>
      <c r="L2" s="3" t="str">
        <f ca="1">IFERROR(__xludf.DUMMYFUNCTION("""COMPUTED_VALUE"""),"Distance")</f>
        <v>Distance</v>
      </c>
      <c r="M2" s="3" t="str">
        <f ca="1">IFERROR(__xludf.DUMMYFUNCTION("""COMPUTED_VALUE"""),"Rank")</f>
        <v>Rank</v>
      </c>
      <c r="N2" s="3" t="str">
        <f ca="1">IFERROR(__xludf.DUMMYFUNCTION("""COMPUTED_VALUE"""),"Name")</f>
        <v>Name</v>
      </c>
      <c r="O2" s="3" t="str">
        <f ca="1">IFERROR(__xludf.DUMMYFUNCTION("""COMPUTED_VALUE"""),"Cat")</f>
        <v>Cat</v>
      </c>
      <c r="P2" s="3" t="str">
        <f ca="1">IFERROR(__xludf.DUMMYFUNCTION("""COMPUTED_VALUE"""),"Time")</f>
        <v>Time</v>
      </c>
      <c r="Q2" s="3" t="str">
        <f ca="1">IFERROR(__xludf.DUMMYFUNCTION("""COMPUTED_VALUE"""),"Notes")</f>
        <v>Notes</v>
      </c>
      <c r="R2" s="3" t="str">
        <f ca="1">IFERROR(__xludf.DUMMYFUNCTION("""COMPUTED_VALUE"""),"Scratch Points")</f>
        <v>Scratch Points</v>
      </c>
      <c r="S2" s="7" t="str">
        <f ca="1">IFERROR(__xludf.DUMMYFUNCTION("""COMPUTED_VALUE"""),"H'Cap Time")</f>
        <v>H'Cap Time</v>
      </c>
      <c r="T2" s="3" t="str">
        <f ca="1">IFERROR(__xludf.DUMMYFUNCTION("""COMPUTED_VALUE"""),"H-Cap Rank")</f>
        <v>H-Cap Rank</v>
      </c>
      <c r="U2" s="3" t="str">
        <f ca="1">IFERROR(__xludf.DUMMYFUNCTION("""COMPUTED_VALUE"""),"H'Cap Points")</f>
        <v>H'Cap Points</v>
      </c>
      <c r="V2" s="3" t="str">
        <f ca="1">IFERROR(__xludf.DUMMYFUNCTION("""COMPUTED_VALUE"""),"Vet Time")</f>
        <v>Vet Time</v>
      </c>
      <c r="W2" s="3" t="str">
        <f ca="1">IFERROR(__xludf.DUMMYFUNCTION("""COMPUTED_VALUE"""),"Vet Rank")</f>
        <v>Vet Rank</v>
      </c>
      <c r="X2" s="3" t="str">
        <f ca="1">IFERROR(__xludf.DUMMYFUNCTION("""COMPUTED_VALUE"""),"Vet Points")</f>
        <v>Vet Points</v>
      </c>
      <c r="Y2" s="3" t="str">
        <f ca="1">IFERROR(__xludf.DUMMYFUNCTION("""COMPUTED_VALUE"""),"Women Rank")</f>
        <v>Women Rank</v>
      </c>
      <c r="Z2" s="3" t="str">
        <f ca="1">IFERROR(__xludf.DUMMYFUNCTION("""COMPUTED_VALUE"""),"Women Points")</f>
        <v>Women Points</v>
      </c>
      <c r="AA2" s="3" t="str">
        <f ca="1">IFERROR(__xludf.DUMMYFUNCTION("""COMPUTED_VALUE"""),"Junior Rank")</f>
        <v>Junior Rank</v>
      </c>
      <c r="AB2" s="3" t="str">
        <f ca="1">IFERROR(__xludf.DUMMYFUNCTION("""COMPUTED_VALUE"""),"Junior Points")</f>
        <v>Junior Points</v>
      </c>
      <c r="AC2" s="3" t="str">
        <f ca="1">IFERROR(__xludf.DUMMYFUNCTION("""COMPUTED_VALUE"""),"Youth Rank")</f>
        <v>Youth Rank</v>
      </c>
      <c r="AD2" s="3" t="str">
        <f ca="1">IFERROR(__xludf.DUMMYFUNCTION("""COMPUTED_VALUE"""),"Youth Points")</f>
        <v>Youth Points</v>
      </c>
      <c r="AE2" s="3" t="str">
        <f ca="1">IFERROR(__xludf.DUMMYFUNCTION("""COMPUTED_VALUE"""),"Non-aero Points")</f>
        <v>Non-aero Points</v>
      </c>
      <c r="AF2" s="3" t="str">
        <f ca="1">IFERROR(__xludf.DUMMYFUNCTION("""COMPUTED_VALUE"""),"Non-aero Rank")</f>
        <v>Non-aero Rank</v>
      </c>
      <c r="AG2" s="3" t="str">
        <f ca="1">IFERROR(__xludf.DUMMYFUNCTION("""COMPUTED_VALUE"""),"HC Rank")</f>
        <v>HC Rank</v>
      </c>
      <c r="AH2" s="3" t="str">
        <f ca="1">IFERROR(__xludf.DUMMYFUNCTION("""COMPUTED_VALUE"""),"HC Points")</f>
        <v>HC Points</v>
      </c>
      <c r="AI2" s="3" t="str">
        <f ca="1">IFERROR(__xludf.DUMMYFUNCTION("""COMPUTED_VALUE"""),"Novice")</f>
        <v>Novice</v>
      </c>
      <c r="AJ2" s="3" t="str">
        <f ca="1">IFERROR(__xludf.DUMMYFUNCTION("""COMPUTED_VALUE"""),"Record")</f>
        <v>Record</v>
      </c>
      <c r="AK2" s="3" t="str">
        <f ca="1">IFERROR(__xludf.DUMMYFUNCTION("""COMPUTED_VALUE"""),"Club Record")</f>
        <v>Club Record</v>
      </c>
      <c r="AL2" s="3" t="str">
        <f ca="1">IFERROR(__xludf.DUMMYFUNCTION("""COMPUTED_VALUE"""),"Age Record")</f>
        <v>Age Record</v>
      </c>
      <c r="AM2" s="3" t="str">
        <f ca="1">IFERROR(__xludf.DUMMYFUNCTION("""COMPUTED_VALUE"""),"Team Record")</f>
        <v>Team Record</v>
      </c>
    </row>
    <row r="3" spans="1:39" x14ac:dyDescent="0.2">
      <c r="A3" s="2">
        <f ca="1">IF($G3="","",IF(ISERROR(MATCH($N3,Lge_Scratch!$B:$B,0)),1,0))</f>
        <v>0</v>
      </c>
      <c r="B3" s="2">
        <f ca="1">IF($G3="","",IF(AND(LEFT($Q3,8)="Non-aero",ISERROR(MATCH($N3,Lge_NonAero!$B:$B,0))),1,0))</f>
        <v>0</v>
      </c>
      <c r="C3" s="5">
        <f ca="1">IF($G3="","",IF(AND(LEFT($O3,3)="Wom",ISERROR(MATCH($N3,Lge_Women!$B:$B,0))),1,0))</f>
        <v>0</v>
      </c>
      <c r="D3" s="2">
        <f ca="1">IF($G3="","",IF(AND(OR($O3="Vet",$O3="Woman Vet"),ISERROR(MATCH($N3,Lge_Vets!$B:$B,0))),1,0))</f>
        <v>0</v>
      </c>
      <c r="E3" s="2">
        <f ca="1">IF($G3="","",IF(AND(OR($O3="Junior",$O3="Woman Junior",$O3="Youth",$O3="Woman Youth"),ISERROR(MATCH($N3,Lge_Junior!$B:$B,0))),1,0))</f>
        <v>0</v>
      </c>
      <c r="F3" s="2">
        <f ca="1">IF($G3="","",IF(AND(LEFT($O3,3)="You",ISERROR(MATCH($N3,Lge_Youth!$B:$B,0))),1,0))</f>
        <v>0</v>
      </c>
      <c r="G3" s="3" t="str">
        <f ca="1">IFERROR(__xludf.DUMMYFUNCTION("""COMPUTED_VALUE"""),"45815_Saturday League_7")</f>
        <v>45815_Saturday League_7</v>
      </c>
      <c r="H3" s="3" t="str">
        <f ca="1">IFERROR(__xludf.DUMMYFUNCTION("""COMPUTED_VALUE"""),"45815_Saturday League_7_1")</f>
        <v>45815_Saturday League_7_1</v>
      </c>
      <c r="I3" s="3">
        <f ca="1">IFERROR(__xludf.DUMMYFUNCTION("""COMPUTED_VALUE"""),8)</f>
        <v>8</v>
      </c>
      <c r="J3" s="3" t="str">
        <f ca="1">IFERROR(__xludf.DUMMYFUNCTION("""COMPUTED_VALUE"""),"Saturday League")</f>
        <v>Saturday League</v>
      </c>
      <c r="K3" s="6">
        <f ca="1">IFERROR(__xludf.DUMMYFUNCTION("""COMPUTED_VALUE"""),45815)</f>
        <v>45815</v>
      </c>
      <c r="L3" s="4">
        <f ca="1">IFERROR(__xludf.DUMMYFUNCTION("""COMPUTED_VALUE"""),7)</f>
        <v>7</v>
      </c>
      <c r="M3" s="4">
        <f ca="1">IFERROR(__xludf.DUMMYFUNCTION("""COMPUTED_VALUE"""),1)</f>
        <v>1</v>
      </c>
      <c r="N3" s="8" t="str">
        <f ca="1">IFERROR(__xludf.DUMMYFUNCTION("""COMPUTED_VALUE"""),"Marc Brant")</f>
        <v>Marc Brant</v>
      </c>
      <c r="O3" s="8" t="str">
        <f ca="1">IFERROR(__xludf.DUMMYFUNCTION("""COMPUTED_VALUE"""),"Vet")</f>
        <v>Vet</v>
      </c>
      <c r="P3" s="9">
        <f ca="1">IFERROR(__xludf.DUMMYFUNCTION("""COMPUTED_VALUE"""),0.0121527777777777)</f>
        <v>1.21527777777777E-2</v>
      </c>
      <c r="Q3" s="8" t="str">
        <f ca="1">IFERROR(__xludf.DUMMYFUNCTION("""COMPUTED_VALUE"""),"PB")</f>
        <v>PB</v>
      </c>
      <c r="R3" s="8">
        <f ca="1">IFERROR(__xludf.DUMMYFUNCTION("""COMPUTED_VALUE"""),60)</f>
        <v>60</v>
      </c>
      <c r="S3" s="9"/>
      <c r="T3" s="8"/>
      <c r="U3" s="8">
        <f ca="1">IFERROR(__xludf.DUMMYFUNCTION("""COMPUTED_VALUE"""),60)</f>
        <v>60</v>
      </c>
      <c r="V3" s="9">
        <f ca="1">IFERROR(__xludf.DUMMYFUNCTION("""COMPUTED_VALUE"""),0.0117719907407407)</f>
        <v>1.1771990740740699E-2</v>
      </c>
      <c r="W3" s="8">
        <f ca="1">IFERROR(__xludf.DUMMYFUNCTION("""COMPUTED_VALUE"""),1)</f>
        <v>1</v>
      </c>
      <c r="X3" s="8">
        <f ca="1">IFERROR(__xludf.DUMMYFUNCTION("""COMPUTED_VALUE"""),60)</f>
        <v>60</v>
      </c>
      <c r="Y3" s="8">
        <f ca="1">IFERROR(__xludf.DUMMYFUNCTION("""COMPUTED_VALUE"""),0)</f>
        <v>0</v>
      </c>
      <c r="Z3" s="8">
        <f ca="1">IFERROR(__xludf.DUMMYFUNCTION("""COMPUTED_VALUE"""),0)</f>
        <v>0</v>
      </c>
      <c r="AA3" s="8">
        <f ca="1">IFERROR(__xludf.DUMMYFUNCTION("""COMPUTED_VALUE"""),0)</f>
        <v>0</v>
      </c>
      <c r="AB3" s="8">
        <f ca="1">IFERROR(__xludf.DUMMYFUNCTION("""COMPUTED_VALUE"""),0)</f>
        <v>0</v>
      </c>
      <c r="AC3" s="8">
        <f ca="1">IFERROR(__xludf.DUMMYFUNCTION("""COMPUTED_VALUE"""),0)</f>
        <v>0</v>
      </c>
      <c r="AD3" s="8">
        <f ca="1">IFERROR(__xludf.DUMMYFUNCTION("""COMPUTED_VALUE"""),0)</f>
        <v>0</v>
      </c>
      <c r="AE3" s="8">
        <f ca="1">IFERROR(__xludf.DUMMYFUNCTION("""COMPUTED_VALUE"""),0)</f>
        <v>0</v>
      </c>
      <c r="AF3" s="8" t="str">
        <f ca="1">IFERROR(__xludf.DUMMYFUNCTION("""COMPUTED_VALUE"""),"")</f>
        <v/>
      </c>
      <c r="AG3" s="8" t="str">
        <f ca="1">IFERROR(__xludf.DUMMYFUNCTION("""COMPUTED_VALUE"""),"")</f>
        <v/>
      </c>
      <c r="AH3" s="8">
        <f ca="1">IFERROR(__xludf.DUMMYFUNCTION("""COMPUTED_VALUE"""),0)</f>
        <v>0</v>
      </c>
      <c r="AI3" s="8" t="str">
        <f ca="1">IFERROR(__xludf.DUMMYFUNCTION("""COMPUTED_VALUE"""),"")</f>
        <v/>
      </c>
      <c r="AJ3" s="8" t="str">
        <f ca="1">IFERROR(__xludf.DUMMYFUNCTION("""COMPUTED_VALUE"""),"PB")</f>
        <v>PB</v>
      </c>
      <c r="AK3" s="8" t="str">
        <f ca="1">IFERROR(__xludf.DUMMYFUNCTION("""COMPUTED_VALUE"""),"")</f>
        <v/>
      </c>
      <c r="AL3" s="8" t="str">
        <f ca="1">IFERROR(__xludf.DUMMYFUNCTION("""COMPUTED_VALUE"""),"")</f>
        <v/>
      </c>
      <c r="AM3" s="10" t="str">
        <f ca="1">IFERROR(__xludf.DUMMYFUNCTION("""COMPUTED_VALUE"""),"")</f>
        <v/>
      </c>
    </row>
    <row r="4" spans="1:39" x14ac:dyDescent="0.2">
      <c r="A4" s="2">
        <f ca="1">IF($G4="","",IF(ISERROR(MATCH($N4,Lge_Scratch!$B:$B,0)),1,0))</f>
        <v>0</v>
      </c>
      <c r="B4" s="2">
        <f ca="1">IF($G4="","",IF(AND(LEFT($Q4,8)="Non-aero",ISERROR(MATCH($N4,Lge_NonAero!$B:$B,0))),1,0))</f>
        <v>0</v>
      </c>
      <c r="C4" s="5">
        <f ca="1">IF($G4="","",IF(AND(LEFT($O4,3)="Wom",ISERROR(MATCH($N4,Lge_Women!$B:$B,0))),1,0))</f>
        <v>0</v>
      </c>
      <c r="D4" s="2">
        <f ca="1">IF($G4="","",IF(AND(OR($O4="Vet",$O4="Woman Vet"),ISERROR(MATCH($N4,Lge_Vets!$B:$B,0))),1,0))</f>
        <v>0</v>
      </c>
      <c r="E4" s="2">
        <f ca="1">IF($G4="","",IF(AND(OR($O4="Junior",$O4="Woman Junior",$O4="Youth",$O4="Woman Youth"),ISERROR(MATCH($N4,Lge_Junior!$B:$B,0))),1,0))</f>
        <v>0</v>
      </c>
      <c r="F4" s="2">
        <f ca="1">IF($G4="","",IF(AND(LEFT($O4,3)="You",ISERROR(MATCH($N4,Lge_Youth!$B:$B,0))),1,0))</f>
        <v>0</v>
      </c>
      <c r="G4" s="3" t="str">
        <f ca="1">IFERROR(__xludf.DUMMYFUNCTION("""COMPUTED_VALUE"""),"45815_Saturday League_7")</f>
        <v>45815_Saturday League_7</v>
      </c>
      <c r="H4" s="3" t="str">
        <f ca="1">IFERROR(__xludf.DUMMYFUNCTION("""COMPUTED_VALUE"""),"45815_Saturday League_7_2")</f>
        <v>45815_Saturday League_7_2</v>
      </c>
      <c r="I4" s="3">
        <f ca="1">IFERROR(__xludf.DUMMYFUNCTION("""COMPUTED_VALUE"""),8)</f>
        <v>8</v>
      </c>
      <c r="J4" s="3" t="str">
        <f ca="1">IFERROR(__xludf.DUMMYFUNCTION("""COMPUTED_VALUE"""),"Saturday League")</f>
        <v>Saturday League</v>
      </c>
      <c r="K4" s="6">
        <f ca="1">IFERROR(__xludf.DUMMYFUNCTION("""COMPUTED_VALUE"""),45815)</f>
        <v>45815</v>
      </c>
      <c r="L4" s="4">
        <f ca="1">IFERROR(__xludf.DUMMYFUNCTION("""COMPUTED_VALUE"""),7)</f>
        <v>7</v>
      </c>
      <c r="M4" s="4">
        <f ca="1">IFERROR(__xludf.DUMMYFUNCTION("""COMPUTED_VALUE"""),2)</f>
        <v>2</v>
      </c>
      <c r="N4" s="8" t="str">
        <f ca="1">IFERROR(__xludf.DUMMYFUNCTION("""COMPUTED_VALUE"""),"Ben Pennington")</f>
        <v>Ben Pennington</v>
      </c>
      <c r="O4" s="8" t="str">
        <f ca="1">IFERROR(__xludf.DUMMYFUNCTION("""COMPUTED_VALUE"""),"Vet")</f>
        <v>Vet</v>
      </c>
      <c r="P4" s="9">
        <f ca="1">IFERROR(__xludf.DUMMYFUNCTION("""COMPUTED_VALUE"""),0.0135648148148148)</f>
        <v>1.35648148148148E-2</v>
      </c>
      <c r="Q4" s="8" t="str">
        <f ca="1">IFERROR(__xludf.DUMMYFUNCTION("""COMPUTED_VALUE"""),"Non-aero PB")</f>
        <v>Non-aero PB</v>
      </c>
      <c r="R4" s="8">
        <f ca="1">IFERROR(__xludf.DUMMYFUNCTION("""COMPUTED_VALUE"""),59)</f>
        <v>59</v>
      </c>
      <c r="S4" s="9"/>
      <c r="T4" s="8"/>
      <c r="U4" s="8">
        <f ca="1">IFERROR(__xludf.DUMMYFUNCTION("""COMPUTED_VALUE"""),60)</f>
        <v>60</v>
      </c>
      <c r="V4" s="9">
        <f ca="1">IFERROR(__xludf.DUMMYFUNCTION("""COMPUTED_VALUE"""),0.0133136574074074)</f>
        <v>1.3313657407407401E-2</v>
      </c>
      <c r="W4" s="8">
        <f ca="1">IFERROR(__xludf.DUMMYFUNCTION("""COMPUTED_VALUE"""),3)</f>
        <v>3</v>
      </c>
      <c r="X4" s="8">
        <f ca="1">IFERROR(__xludf.DUMMYFUNCTION("""COMPUTED_VALUE"""),58)</f>
        <v>58</v>
      </c>
      <c r="Y4" s="8">
        <f ca="1">IFERROR(__xludf.DUMMYFUNCTION("""COMPUTED_VALUE"""),0)</f>
        <v>0</v>
      </c>
      <c r="Z4" s="8">
        <f ca="1">IFERROR(__xludf.DUMMYFUNCTION("""COMPUTED_VALUE"""),0)</f>
        <v>0</v>
      </c>
      <c r="AA4" s="8">
        <f ca="1">IFERROR(__xludf.DUMMYFUNCTION("""COMPUTED_VALUE"""),0)</f>
        <v>0</v>
      </c>
      <c r="AB4" s="8">
        <f ca="1">IFERROR(__xludf.DUMMYFUNCTION("""COMPUTED_VALUE"""),0)</f>
        <v>0</v>
      </c>
      <c r="AC4" s="8">
        <f ca="1">IFERROR(__xludf.DUMMYFUNCTION("""COMPUTED_VALUE"""),0)</f>
        <v>0</v>
      </c>
      <c r="AD4" s="8">
        <f ca="1">IFERROR(__xludf.DUMMYFUNCTION("""COMPUTED_VALUE"""),0)</f>
        <v>0</v>
      </c>
      <c r="AE4" s="8">
        <f ca="1">IFERROR(__xludf.DUMMYFUNCTION("""COMPUTED_VALUE"""),60)</f>
        <v>60</v>
      </c>
      <c r="AF4" s="8">
        <f ca="1">IFERROR(__xludf.DUMMYFUNCTION("""COMPUTED_VALUE"""),1)</f>
        <v>1</v>
      </c>
      <c r="AG4" s="8" t="str">
        <f ca="1">IFERROR(__xludf.DUMMYFUNCTION("""COMPUTED_VALUE"""),"")</f>
        <v/>
      </c>
      <c r="AH4" s="8">
        <f ca="1">IFERROR(__xludf.DUMMYFUNCTION("""COMPUTED_VALUE"""),0)</f>
        <v>0</v>
      </c>
      <c r="AI4" s="8" t="str">
        <f ca="1">IFERROR(__xludf.DUMMYFUNCTION("""COMPUTED_VALUE"""),"")</f>
        <v/>
      </c>
      <c r="AJ4" s="8" t="str">
        <f ca="1">IFERROR(__xludf.DUMMYFUNCTION("""COMPUTED_VALUE"""),"PB")</f>
        <v>PB</v>
      </c>
      <c r="AK4" s="8" t="str">
        <f ca="1">IFERROR(__xludf.DUMMYFUNCTION("""COMPUTED_VALUE"""),"")</f>
        <v/>
      </c>
      <c r="AL4" s="8" t="str">
        <f ca="1">IFERROR(__xludf.DUMMYFUNCTION("""COMPUTED_VALUE"""),"")</f>
        <v/>
      </c>
      <c r="AM4" s="10" t="str">
        <f ca="1">IFERROR(__xludf.DUMMYFUNCTION("""COMPUTED_VALUE"""),"")</f>
        <v/>
      </c>
    </row>
    <row r="5" spans="1:39" x14ac:dyDescent="0.2">
      <c r="A5" s="2">
        <f ca="1">IF($G5="","",IF(ISERROR(MATCH($N5,Lge_Scratch!$B:$B,0)),1,0))</f>
        <v>0</v>
      </c>
      <c r="B5" s="2">
        <f ca="1">IF($G5="","",IF(AND(LEFT($Q5,8)="Non-aero",ISERROR(MATCH($N5,Lge_NonAero!$B:$B,0))),1,0))</f>
        <v>0</v>
      </c>
      <c r="C5" s="5">
        <f ca="1">IF($G5="","",IF(AND(LEFT($O5,3)="Wom",ISERROR(MATCH($N5,Lge_Women!$B:$B,0))),1,0))</f>
        <v>0</v>
      </c>
      <c r="D5" s="2">
        <f ca="1">IF($G5="","",IF(AND(OR($O5="Vet",$O5="Woman Vet"),ISERROR(MATCH($N5,Lge_Vets!$B:$B,0))),1,0))</f>
        <v>0</v>
      </c>
      <c r="E5" s="2">
        <f ca="1">IF($G5="","",IF(AND(OR($O5="Junior",$O5="Woman Junior",$O5="Youth",$O5="Woman Youth"),ISERROR(MATCH($N5,Lge_Junior!$B:$B,0))),1,0))</f>
        <v>0</v>
      </c>
      <c r="F5" s="2">
        <f ca="1">IF($G5="","",IF(AND(LEFT($O5,3)="You",ISERROR(MATCH($N5,Lge_Youth!$B:$B,0))),1,0))</f>
        <v>0</v>
      </c>
      <c r="G5" s="3" t="str">
        <f ca="1">IFERROR(__xludf.DUMMYFUNCTION("""COMPUTED_VALUE"""),"45815_Saturday League_7")</f>
        <v>45815_Saturday League_7</v>
      </c>
      <c r="H5" s="3" t="str">
        <f ca="1">IFERROR(__xludf.DUMMYFUNCTION("""COMPUTED_VALUE"""),"45815_Saturday League_7_3")</f>
        <v>45815_Saturday League_7_3</v>
      </c>
      <c r="I5" s="3">
        <f ca="1">IFERROR(__xludf.DUMMYFUNCTION("""COMPUTED_VALUE"""),8)</f>
        <v>8</v>
      </c>
      <c r="J5" s="3" t="str">
        <f ca="1">IFERROR(__xludf.DUMMYFUNCTION("""COMPUTED_VALUE"""),"Saturday League")</f>
        <v>Saturday League</v>
      </c>
      <c r="K5" s="6">
        <f ca="1">IFERROR(__xludf.DUMMYFUNCTION("""COMPUTED_VALUE"""),45815)</f>
        <v>45815</v>
      </c>
      <c r="L5" s="4">
        <f ca="1">IFERROR(__xludf.DUMMYFUNCTION("""COMPUTED_VALUE"""),7)</f>
        <v>7</v>
      </c>
      <c r="M5" s="4">
        <f ca="1">IFERROR(__xludf.DUMMYFUNCTION("""COMPUTED_VALUE"""),3)</f>
        <v>3</v>
      </c>
      <c r="N5" s="8" t="str">
        <f ca="1">IFERROR(__xludf.DUMMYFUNCTION("""COMPUTED_VALUE"""),"Danny Jago")</f>
        <v>Danny Jago</v>
      </c>
      <c r="O5" s="8" t="str">
        <f ca="1">IFERROR(__xludf.DUMMYFUNCTION("""COMPUTED_VALUE"""),"Vet")</f>
        <v>Vet</v>
      </c>
      <c r="P5" s="9">
        <f ca="1">IFERROR(__xludf.DUMMYFUNCTION("""COMPUTED_VALUE"""),0.0145023148148148)</f>
        <v>1.4502314814814799E-2</v>
      </c>
      <c r="Q5" s="8" t="str">
        <f ca="1">IFERROR(__xludf.DUMMYFUNCTION("""COMPUTED_VALUE"""),"Non-aero First 7 mile TT")</f>
        <v>Non-aero First 7 mile TT</v>
      </c>
      <c r="R5" s="8">
        <f ca="1">IFERROR(__xludf.DUMMYFUNCTION("""COMPUTED_VALUE"""),58)</f>
        <v>58</v>
      </c>
      <c r="S5" s="9"/>
      <c r="T5" s="8"/>
      <c r="U5" s="8">
        <f ca="1">IFERROR(__xludf.DUMMYFUNCTION("""COMPUTED_VALUE"""),60)</f>
        <v>60</v>
      </c>
      <c r="V5" s="9">
        <f ca="1">IFERROR(__xludf.DUMMYFUNCTION("""COMPUTED_VALUE"""),0.0143888888888888)</f>
        <v>1.43888888888888E-2</v>
      </c>
      <c r="W5" s="8">
        <f ca="1">IFERROR(__xludf.DUMMYFUNCTION("""COMPUTED_VALUE"""),7)</f>
        <v>7</v>
      </c>
      <c r="X5" s="8">
        <f ca="1">IFERROR(__xludf.DUMMYFUNCTION("""COMPUTED_VALUE"""),54)</f>
        <v>54</v>
      </c>
      <c r="Y5" s="8">
        <f ca="1">IFERROR(__xludf.DUMMYFUNCTION("""COMPUTED_VALUE"""),0)</f>
        <v>0</v>
      </c>
      <c r="Z5" s="8">
        <f ca="1">IFERROR(__xludf.DUMMYFUNCTION("""COMPUTED_VALUE"""),0)</f>
        <v>0</v>
      </c>
      <c r="AA5" s="8">
        <f ca="1">IFERROR(__xludf.DUMMYFUNCTION("""COMPUTED_VALUE"""),0)</f>
        <v>0</v>
      </c>
      <c r="AB5" s="8">
        <f ca="1">IFERROR(__xludf.DUMMYFUNCTION("""COMPUTED_VALUE"""),0)</f>
        <v>0</v>
      </c>
      <c r="AC5" s="8">
        <f ca="1">IFERROR(__xludf.DUMMYFUNCTION("""COMPUTED_VALUE"""),0)</f>
        <v>0</v>
      </c>
      <c r="AD5" s="8">
        <f ca="1">IFERROR(__xludf.DUMMYFUNCTION("""COMPUTED_VALUE"""),0)</f>
        <v>0</v>
      </c>
      <c r="AE5" s="8">
        <f ca="1">IFERROR(__xludf.DUMMYFUNCTION("""COMPUTED_VALUE"""),59)</f>
        <v>59</v>
      </c>
      <c r="AF5" s="8">
        <f ca="1">IFERROR(__xludf.DUMMYFUNCTION("""COMPUTED_VALUE"""),2)</f>
        <v>2</v>
      </c>
      <c r="AG5" s="8" t="str">
        <f ca="1">IFERROR(__xludf.DUMMYFUNCTION("""COMPUTED_VALUE"""),"")</f>
        <v/>
      </c>
      <c r="AH5" s="8">
        <f ca="1">IFERROR(__xludf.DUMMYFUNCTION("""COMPUTED_VALUE"""),0)</f>
        <v>0</v>
      </c>
      <c r="AI5" s="8" t="str">
        <f ca="1">IFERROR(__xludf.DUMMYFUNCTION("""COMPUTED_VALUE"""),"First 7 mile TT")</f>
        <v>First 7 mile TT</v>
      </c>
      <c r="AJ5" s="8" t="str">
        <f ca="1">IFERROR(__xludf.DUMMYFUNCTION("""COMPUTED_VALUE"""),"")</f>
        <v/>
      </c>
      <c r="AK5" s="8" t="str">
        <f ca="1">IFERROR(__xludf.DUMMYFUNCTION("""COMPUTED_VALUE"""),"")</f>
        <v/>
      </c>
      <c r="AL5" s="8" t="str">
        <f ca="1">IFERROR(__xludf.DUMMYFUNCTION("""COMPUTED_VALUE"""),"")</f>
        <v/>
      </c>
      <c r="AM5" s="10" t="str">
        <f ca="1">IFERROR(__xludf.DUMMYFUNCTION("""COMPUTED_VALUE"""),"")</f>
        <v/>
      </c>
    </row>
    <row r="6" spans="1:39" x14ac:dyDescent="0.2">
      <c r="A6" s="2">
        <f ca="1">IF($G6="","",IF(ISERROR(MATCH($N6,Lge_Scratch!$B:$B,0)),1,0))</f>
        <v>0</v>
      </c>
      <c r="B6" s="2">
        <f ca="1">IF($G6="","",IF(AND(LEFT($Q6,8)="Non-aero",ISERROR(MATCH($N6,Lge_NonAero!$B:$B,0))),1,0))</f>
        <v>0</v>
      </c>
      <c r="C6" s="5">
        <f ca="1">IF($G6="","",IF(AND(LEFT($O6,3)="Wom",ISERROR(MATCH($N6,Lge_Women!$B:$B,0))),1,0))</f>
        <v>0</v>
      </c>
      <c r="D6" s="2">
        <f ca="1">IF($G6="","",IF(AND(OR($O6="Vet",$O6="Woman Vet"),ISERROR(MATCH($N6,Lge_Vets!$B:$B,0))),1,0))</f>
        <v>0</v>
      </c>
      <c r="E6" s="2">
        <f ca="1">IF($G6="","",IF(AND(OR($O6="Junior",$O6="Woman Junior",$O6="Youth",$O6="Woman Youth"),ISERROR(MATCH($N6,Lge_Junior!$B:$B,0))),1,0))</f>
        <v>0</v>
      </c>
      <c r="F6" s="2">
        <f ca="1">IF($G6="","",IF(AND(LEFT($O6,3)="You",ISERROR(MATCH($N6,Lge_Youth!$B:$B,0))),1,0))</f>
        <v>0</v>
      </c>
      <c r="G6" s="3" t="str">
        <f ca="1">IFERROR(__xludf.DUMMYFUNCTION("""COMPUTED_VALUE"""),"45815_Saturday League_7")</f>
        <v>45815_Saturday League_7</v>
      </c>
      <c r="H6" s="3" t="str">
        <f ca="1">IFERROR(__xludf.DUMMYFUNCTION("""COMPUTED_VALUE"""),"45815_Saturday League_7_4")</f>
        <v>45815_Saturday League_7_4</v>
      </c>
      <c r="I6" s="3">
        <f ca="1">IFERROR(__xludf.DUMMYFUNCTION("""COMPUTED_VALUE"""),8)</f>
        <v>8</v>
      </c>
      <c r="J6" s="3" t="str">
        <f ca="1">IFERROR(__xludf.DUMMYFUNCTION("""COMPUTED_VALUE"""),"Saturday League")</f>
        <v>Saturday League</v>
      </c>
      <c r="K6" s="6">
        <f ca="1">IFERROR(__xludf.DUMMYFUNCTION("""COMPUTED_VALUE"""),45815)</f>
        <v>45815</v>
      </c>
      <c r="L6" s="4">
        <f ca="1">IFERROR(__xludf.DUMMYFUNCTION("""COMPUTED_VALUE"""),7)</f>
        <v>7</v>
      </c>
      <c r="M6" s="4">
        <f ca="1">IFERROR(__xludf.DUMMYFUNCTION("""COMPUTED_VALUE"""),4)</f>
        <v>4</v>
      </c>
      <c r="N6" s="8" t="str">
        <f ca="1">IFERROR(__xludf.DUMMYFUNCTION("""COMPUTED_VALUE"""),"Stuart Jago")</f>
        <v>Stuart Jago</v>
      </c>
      <c r="O6" s="8" t="str">
        <f ca="1">IFERROR(__xludf.DUMMYFUNCTION("""COMPUTED_VALUE"""),"Vet")</f>
        <v>Vet</v>
      </c>
      <c r="P6" s="9">
        <f ca="1">IFERROR(__xludf.DUMMYFUNCTION("""COMPUTED_VALUE"""),0.015324074074074)</f>
        <v>1.5324074074074E-2</v>
      </c>
      <c r="Q6" s="8" t="str">
        <f ca="1">IFERROR(__xludf.DUMMYFUNCTION("""COMPUTED_VALUE"""),"Non-aero")</f>
        <v>Non-aero</v>
      </c>
      <c r="R6" s="8">
        <f ca="1">IFERROR(__xludf.DUMMYFUNCTION("""COMPUTED_VALUE"""),57)</f>
        <v>57</v>
      </c>
      <c r="S6" s="9"/>
      <c r="T6" s="8"/>
      <c r="U6" s="8">
        <f ca="1">IFERROR(__xludf.DUMMYFUNCTION("""COMPUTED_VALUE"""),60)</f>
        <v>60</v>
      </c>
      <c r="V6" s="9">
        <f ca="1">IFERROR(__xludf.DUMMYFUNCTION("""COMPUTED_VALUE"""),0.0133391203703703)</f>
        <v>1.33391203703703E-2</v>
      </c>
      <c r="W6" s="8">
        <f ca="1">IFERROR(__xludf.DUMMYFUNCTION("""COMPUTED_VALUE"""),4)</f>
        <v>4</v>
      </c>
      <c r="X6" s="8">
        <f ca="1">IFERROR(__xludf.DUMMYFUNCTION("""COMPUTED_VALUE"""),57)</f>
        <v>57</v>
      </c>
      <c r="Y6" s="8">
        <f ca="1">IFERROR(__xludf.DUMMYFUNCTION("""COMPUTED_VALUE"""),0)</f>
        <v>0</v>
      </c>
      <c r="Z6" s="8">
        <f ca="1">IFERROR(__xludf.DUMMYFUNCTION("""COMPUTED_VALUE"""),0)</f>
        <v>0</v>
      </c>
      <c r="AA6" s="8">
        <f ca="1">IFERROR(__xludf.DUMMYFUNCTION("""COMPUTED_VALUE"""),0)</f>
        <v>0</v>
      </c>
      <c r="AB6" s="8">
        <f ca="1">IFERROR(__xludf.DUMMYFUNCTION("""COMPUTED_VALUE"""),0)</f>
        <v>0</v>
      </c>
      <c r="AC6" s="8">
        <f ca="1">IFERROR(__xludf.DUMMYFUNCTION("""COMPUTED_VALUE"""),0)</f>
        <v>0</v>
      </c>
      <c r="AD6" s="8">
        <f ca="1">IFERROR(__xludf.DUMMYFUNCTION("""COMPUTED_VALUE"""),0)</f>
        <v>0</v>
      </c>
      <c r="AE6" s="8">
        <f ca="1">IFERROR(__xludf.DUMMYFUNCTION("""COMPUTED_VALUE"""),58)</f>
        <v>58</v>
      </c>
      <c r="AF6" s="8">
        <f ca="1">IFERROR(__xludf.DUMMYFUNCTION("""COMPUTED_VALUE"""),3)</f>
        <v>3</v>
      </c>
      <c r="AG6" s="8" t="str">
        <f ca="1">IFERROR(__xludf.DUMMYFUNCTION("""COMPUTED_VALUE"""),"")</f>
        <v/>
      </c>
      <c r="AH6" s="8">
        <f ca="1">IFERROR(__xludf.DUMMYFUNCTION("""COMPUTED_VALUE"""),0)</f>
        <v>0</v>
      </c>
      <c r="AI6" s="8" t="str">
        <f ca="1">IFERROR(__xludf.DUMMYFUNCTION("""COMPUTED_VALUE"""),"")</f>
        <v/>
      </c>
      <c r="AJ6" s="8" t="str">
        <f ca="1">IFERROR(__xludf.DUMMYFUNCTION("""COMPUTED_VALUE"""),"")</f>
        <v/>
      </c>
      <c r="AK6" s="8" t="str">
        <f ca="1">IFERROR(__xludf.DUMMYFUNCTION("""COMPUTED_VALUE"""),"")</f>
        <v/>
      </c>
      <c r="AL6" s="8" t="str">
        <f ca="1">IFERROR(__xludf.DUMMYFUNCTION("""COMPUTED_VALUE"""),"")</f>
        <v/>
      </c>
      <c r="AM6" s="10" t="str">
        <f ca="1">IFERROR(__xludf.DUMMYFUNCTION("""COMPUTED_VALUE"""),"")</f>
        <v/>
      </c>
    </row>
    <row r="7" spans="1:39" x14ac:dyDescent="0.2">
      <c r="A7" s="2">
        <f ca="1">IF($G7="","",IF(ISERROR(MATCH($N7,Lge_Scratch!$B:$B,0)),1,0))</f>
        <v>0</v>
      </c>
      <c r="B7" s="2">
        <f ca="1">IF($G7="","",IF(AND(LEFT($Q7,8)="Non-aero",ISERROR(MATCH($N7,Lge_NonAero!$B:$B,0))),1,0))</f>
        <v>0</v>
      </c>
      <c r="C7" s="5">
        <f ca="1">IF($G7="","",IF(AND(LEFT($O7,3)="Wom",ISERROR(MATCH($N7,Lge_Women!$B:$B,0))),1,0))</f>
        <v>0</v>
      </c>
      <c r="D7" s="2">
        <f ca="1">IF($G7="","",IF(AND(OR($O7="Vet",$O7="Woman Vet"),ISERROR(MATCH($N7,Lge_Vets!$B:$B,0))),1,0))</f>
        <v>0</v>
      </c>
      <c r="E7" s="2">
        <f ca="1">IF($G7="","",IF(AND(OR($O7="Junior",$O7="Woman Junior",$O7="Youth",$O7="Woman Youth"),ISERROR(MATCH($N7,Lge_Junior!$B:$B,0))),1,0))</f>
        <v>0</v>
      </c>
      <c r="F7" s="2">
        <f ca="1">IF($G7="","",IF(AND(LEFT($O7,3)="You",ISERROR(MATCH($N7,Lge_Youth!$B:$B,0))),1,0))</f>
        <v>0</v>
      </c>
      <c r="G7" s="3" t="str">
        <f ca="1">IFERROR(__xludf.DUMMYFUNCTION("""COMPUTED_VALUE"""),"45815_Saturday League_7")</f>
        <v>45815_Saturday League_7</v>
      </c>
      <c r="H7" s="3" t="str">
        <f ca="1">IFERROR(__xludf.DUMMYFUNCTION("""COMPUTED_VALUE"""),"45815_Saturday League_7_5")</f>
        <v>45815_Saturday League_7_5</v>
      </c>
      <c r="I7" s="3">
        <f ca="1">IFERROR(__xludf.DUMMYFUNCTION("""COMPUTED_VALUE"""),8)</f>
        <v>8</v>
      </c>
      <c r="J7" s="3" t="str">
        <f ca="1">IFERROR(__xludf.DUMMYFUNCTION("""COMPUTED_VALUE"""),"Saturday League")</f>
        <v>Saturday League</v>
      </c>
      <c r="K7" s="6">
        <f ca="1">IFERROR(__xludf.DUMMYFUNCTION("""COMPUTED_VALUE"""),45815)</f>
        <v>45815</v>
      </c>
      <c r="L7" s="4">
        <f ca="1">IFERROR(__xludf.DUMMYFUNCTION("""COMPUTED_VALUE"""),7)</f>
        <v>7</v>
      </c>
      <c r="M7" s="4">
        <f ca="1">IFERROR(__xludf.DUMMYFUNCTION("""COMPUTED_VALUE"""),5)</f>
        <v>5</v>
      </c>
      <c r="N7" s="8" t="str">
        <f ca="1">IFERROR(__xludf.DUMMYFUNCTION("""COMPUTED_VALUE"""),"Simon Smith")</f>
        <v>Simon Smith</v>
      </c>
      <c r="O7" s="8" t="str">
        <f ca="1">IFERROR(__xludf.DUMMYFUNCTION("""COMPUTED_VALUE"""),"Vet")</f>
        <v>Vet</v>
      </c>
      <c r="P7" s="9">
        <f ca="1">IFERROR(__xludf.DUMMYFUNCTION("""COMPUTED_VALUE"""),0.0154398148148148)</f>
        <v>1.54398148148148E-2</v>
      </c>
      <c r="Q7" s="8" t="str">
        <f ca="1">IFERROR(__xludf.DUMMYFUNCTION("""COMPUTED_VALUE"""),"Non-aero")</f>
        <v>Non-aero</v>
      </c>
      <c r="R7" s="8">
        <f ca="1">IFERROR(__xludf.DUMMYFUNCTION("""COMPUTED_VALUE"""),56)</f>
        <v>56</v>
      </c>
      <c r="S7" s="9"/>
      <c r="T7" s="8"/>
      <c r="U7" s="8">
        <f ca="1">IFERROR(__xludf.DUMMYFUNCTION("""COMPUTED_VALUE"""),60)</f>
        <v>60</v>
      </c>
      <c r="V7" s="9">
        <f ca="1">IFERROR(__xludf.DUMMYFUNCTION("""COMPUTED_VALUE"""),0.0143055555555555)</f>
        <v>1.43055555555555E-2</v>
      </c>
      <c r="W7" s="8">
        <f ca="1">IFERROR(__xludf.DUMMYFUNCTION("""COMPUTED_VALUE"""),6)</f>
        <v>6</v>
      </c>
      <c r="X7" s="8">
        <f ca="1">IFERROR(__xludf.DUMMYFUNCTION("""COMPUTED_VALUE"""),55)</f>
        <v>55</v>
      </c>
      <c r="Y7" s="8">
        <f ca="1">IFERROR(__xludf.DUMMYFUNCTION("""COMPUTED_VALUE"""),0)</f>
        <v>0</v>
      </c>
      <c r="Z7" s="8">
        <f ca="1">IFERROR(__xludf.DUMMYFUNCTION("""COMPUTED_VALUE"""),0)</f>
        <v>0</v>
      </c>
      <c r="AA7" s="8">
        <f ca="1">IFERROR(__xludf.DUMMYFUNCTION("""COMPUTED_VALUE"""),0)</f>
        <v>0</v>
      </c>
      <c r="AB7" s="8">
        <f ca="1">IFERROR(__xludf.DUMMYFUNCTION("""COMPUTED_VALUE"""),0)</f>
        <v>0</v>
      </c>
      <c r="AC7" s="8">
        <f ca="1">IFERROR(__xludf.DUMMYFUNCTION("""COMPUTED_VALUE"""),0)</f>
        <v>0</v>
      </c>
      <c r="AD7" s="8">
        <f ca="1">IFERROR(__xludf.DUMMYFUNCTION("""COMPUTED_VALUE"""),0)</f>
        <v>0</v>
      </c>
      <c r="AE7" s="8">
        <f ca="1">IFERROR(__xludf.DUMMYFUNCTION("""COMPUTED_VALUE"""),57)</f>
        <v>57</v>
      </c>
      <c r="AF7" s="8">
        <f ca="1">IFERROR(__xludf.DUMMYFUNCTION("""COMPUTED_VALUE"""),4)</f>
        <v>4</v>
      </c>
      <c r="AG7" s="8" t="str">
        <f ca="1">IFERROR(__xludf.DUMMYFUNCTION("""COMPUTED_VALUE"""),"")</f>
        <v/>
      </c>
      <c r="AH7" s="8">
        <f ca="1">IFERROR(__xludf.DUMMYFUNCTION("""COMPUTED_VALUE"""),0)</f>
        <v>0</v>
      </c>
      <c r="AI7" s="8" t="str">
        <f ca="1">IFERROR(__xludf.DUMMYFUNCTION("""COMPUTED_VALUE"""),"")</f>
        <v/>
      </c>
      <c r="AJ7" s="8" t="str">
        <f ca="1">IFERROR(__xludf.DUMMYFUNCTION("""COMPUTED_VALUE"""),"")</f>
        <v/>
      </c>
      <c r="AK7" s="8" t="str">
        <f ca="1">IFERROR(__xludf.DUMMYFUNCTION("""COMPUTED_VALUE"""),"")</f>
        <v/>
      </c>
      <c r="AL7" s="8" t="str">
        <f ca="1">IFERROR(__xludf.DUMMYFUNCTION("""COMPUTED_VALUE"""),"")</f>
        <v/>
      </c>
      <c r="AM7" s="10" t="str">
        <f ca="1">IFERROR(__xludf.DUMMYFUNCTION("""COMPUTED_VALUE"""),"")</f>
        <v/>
      </c>
    </row>
    <row r="8" spans="1:39" x14ac:dyDescent="0.2">
      <c r="A8" s="2">
        <f ca="1">IF($G8="","",IF(ISERROR(MATCH($N8,Lge_Scratch!$B:$B,0)),1,0))</f>
        <v>0</v>
      </c>
      <c r="B8" s="2">
        <f ca="1">IF($G8="","",IF(AND(LEFT($Q8,8)="Non-aero",ISERROR(MATCH($N8,Lge_NonAero!$B:$B,0))),1,0))</f>
        <v>0</v>
      </c>
      <c r="C8" s="5">
        <f ca="1">IF($G8="","",IF(AND(LEFT($O8,3)="Wom",ISERROR(MATCH($N8,Lge_Women!$B:$B,0))),1,0))</f>
        <v>0</v>
      </c>
      <c r="D8" s="2">
        <f ca="1">IF($G8="","",IF(AND(OR($O8="Vet",$O8="Woman Vet"),ISERROR(MATCH($N8,Lge_Vets!$B:$B,0))),1,0))</f>
        <v>0</v>
      </c>
      <c r="E8" s="2">
        <f ca="1">IF($G8="","",IF(AND(OR($O8="Junior",$O8="Woman Junior",$O8="Youth",$O8="Woman Youth"),ISERROR(MATCH($N8,Lge_Junior!$B:$B,0))),1,0))</f>
        <v>0</v>
      </c>
      <c r="F8" s="2">
        <f ca="1">IF($G8="","",IF(AND(LEFT($O8,3)="You",ISERROR(MATCH($N8,Lge_Youth!$B:$B,0))),1,0))</f>
        <v>0</v>
      </c>
      <c r="G8" s="3" t="str">
        <f ca="1">IFERROR(__xludf.DUMMYFUNCTION("""COMPUTED_VALUE"""),"45815_Saturday League_7")</f>
        <v>45815_Saturday League_7</v>
      </c>
      <c r="H8" s="3" t="str">
        <f ca="1">IFERROR(__xludf.DUMMYFUNCTION("""COMPUTED_VALUE"""),"45815_Saturday League_7_6")</f>
        <v>45815_Saturday League_7_6</v>
      </c>
      <c r="I8" s="3">
        <f ca="1">IFERROR(__xludf.DUMMYFUNCTION("""COMPUTED_VALUE"""),8)</f>
        <v>8</v>
      </c>
      <c r="J8" s="3" t="str">
        <f ca="1">IFERROR(__xludf.DUMMYFUNCTION("""COMPUTED_VALUE"""),"Saturday League")</f>
        <v>Saturday League</v>
      </c>
      <c r="K8" s="6">
        <f ca="1">IFERROR(__xludf.DUMMYFUNCTION("""COMPUTED_VALUE"""),45815)</f>
        <v>45815</v>
      </c>
      <c r="L8" s="4">
        <f ca="1">IFERROR(__xludf.DUMMYFUNCTION("""COMPUTED_VALUE"""),7)</f>
        <v>7</v>
      </c>
      <c r="M8" s="4">
        <f ca="1">IFERROR(__xludf.DUMMYFUNCTION("""COMPUTED_VALUE"""),6)</f>
        <v>6</v>
      </c>
      <c r="N8" s="8" t="str">
        <f ca="1">IFERROR(__xludf.DUMMYFUNCTION("""COMPUTED_VALUE"""),"Simon Gretton")</f>
        <v>Simon Gretton</v>
      </c>
      <c r="O8" s="8" t="str">
        <f ca="1">IFERROR(__xludf.DUMMYFUNCTION("""COMPUTED_VALUE"""),"Vet")</f>
        <v>Vet</v>
      </c>
      <c r="P8" s="9">
        <f ca="1">IFERROR(__xludf.DUMMYFUNCTION("""COMPUTED_VALUE"""),0.0155787037037037)</f>
        <v>1.5578703703703701E-2</v>
      </c>
      <c r="Q8" s="8" t="str">
        <f ca="1">IFERROR(__xludf.DUMMYFUNCTION("""COMPUTED_VALUE"""),"Non-aero PB")</f>
        <v>Non-aero PB</v>
      </c>
      <c r="R8" s="8">
        <f ca="1">IFERROR(__xludf.DUMMYFUNCTION("""COMPUTED_VALUE"""),55)</f>
        <v>55</v>
      </c>
      <c r="S8" s="9"/>
      <c r="T8" s="8"/>
      <c r="U8" s="8">
        <f ca="1">IFERROR(__xludf.DUMMYFUNCTION("""COMPUTED_VALUE"""),60)</f>
        <v>60</v>
      </c>
      <c r="V8" s="9">
        <f ca="1">IFERROR(__xludf.DUMMYFUNCTION("""COMPUTED_VALUE"""),0.0131076388888888)</f>
        <v>1.3107638888888801E-2</v>
      </c>
      <c r="W8" s="8">
        <f ca="1">IFERROR(__xludf.DUMMYFUNCTION("""COMPUTED_VALUE"""),2)</f>
        <v>2</v>
      </c>
      <c r="X8" s="8">
        <f ca="1">IFERROR(__xludf.DUMMYFUNCTION("""COMPUTED_VALUE"""),59)</f>
        <v>59</v>
      </c>
      <c r="Y8" s="8">
        <f ca="1">IFERROR(__xludf.DUMMYFUNCTION("""COMPUTED_VALUE"""),0)</f>
        <v>0</v>
      </c>
      <c r="Z8" s="8">
        <f ca="1">IFERROR(__xludf.DUMMYFUNCTION("""COMPUTED_VALUE"""),0)</f>
        <v>0</v>
      </c>
      <c r="AA8" s="8">
        <f ca="1">IFERROR(__xludf.DUMMYFUNCTION("""COMPUTED_VALUE"""),0)</f>
        <v>0</v>
      </c>
      <c r="AB8" s="8">
        <f ca="1">IFERROR(__xludf.DUMMYFUNCTION("""COMPUTED_VALUE"""),0)</f>
        <v>0</v>
      </c>
      <c r="AC8" s="8">
        <f ca="1">IFERROR(__xludf.DUMMYFUNCTION("""COMPUTED_VALUE"""),0)</f>
        <v>0</v>
      </c>
      <c r="AD8" s="8">
        <f ca="1">IFERROR(__xludf.DUMMYFUNCTION("""COMPUTED_VALUE"""),0)</f>
        <v>0</v>
      </c>
      <c r="AE8" s="8">
        <f ca="1">IFERROR(__xludf.DUMMYFUNCTION("""COMPUTED_VALUE"""),56)</f>
        <v>56</v>
      </c>
      <c r="AF8" s="8">
        <f ca="1">IFERROR(__xludf.DUMMYFUNCTION("""COMPUTED_VALUE"""),5)</f>
        <v>5</v>
      </c>
      <c r="AG8" s="8" t="str">
        <f ca="1">IFERROR(__xludf.DUMMYFUNCTION("""COMPUTED_VALUE"""),"")</f>
        <v/>
      </c>
      <c r="AH8" s="8">
        <f ca="1">IFERROR(__xludf.DUMMYFUNCTION("""COMPUTED_VALUE"""),0)</f>
        <v>0</v>
      </c>
      <c r="AI8" s="8" t="str">
        <f ca="1">IFERROR(__xludf.DUMMYFUNCTION("""COMPUTED_VALUE"""),"")</f>
        <v/>
      </c>
      <c r="AJ8" s="8" t="str">
        <f ca="1">IFERROR(__xludf.DUMMYFUNCTION("""COMPUTED_VALUE"""),"PB")</f>
        <v>PB</v>
      </c>
      <c r="AK8" s="8" t="str">
        <f ca="1">IFERROR(__xludf.DUMMYFUNCTION("""COMPUTED_VALUE"""),"")</f>
        <v/>
      </c>
      <c r="AL8" s="8" t="str">
        <f ca="1">IFERROR(__xludf.DUMMYFUNCTION("""COMPUTED_VALUE"""),"")</f>
        <v/>
      </c>
      <c r="AM8" s="10" t="str">
        <f ca="1">IFERROR(__xludf.DUMMYFUNCTION("""COMPUTED_VALUE"""),"")</f>
        <v/>
      </c>
    </row>
    <row r="9" spans="1:39" x14ac:dyDescent="0.2">
      <c r="A9" s="2">
        <f ca="1">IF($G9="","",IF(ISERROR(MATCH($N9,Lge_Scratch!$B:$B,0)),1,0))</f>
        <v>0</v>
      </c>
      <c r="B9" s="2">
        <f ca="1">IF($G9="","",IF(AND(LEFT($Q9,8)="Non-aero",ISERROR(MATCH($N9,Lge_NonAero!$B:$B,0))),1,0))</f>
        <v>0</v>
      </c>
      <c r="C9" s="5">
        <f ca="1">IF($G9="","",IF(AND(LEFT($O9,3)="Wom",ISERROR(MATCH($N9,Lge_Women!$B:$B,0))),1,0))</f>
        <v>0</v>
      </c>
      <c r="D9" s="2">
        <f ca="1">IF($G9="","",IF(AND(OR($O9="Vet",$O9="Woman Vet"),ISERROR(MATCH($N9,Lge_Vets!$B:$B,0))),1,0))</f>
        <v>0</v>
      </c>
      <c r="E9" s="2">
        <f ca="1">IF($G9="","",IF(AND(OR($O9="Junior",$O9="Woman Junior",$O9="Youth",$O9="Woman Youth"),ISERROR(MATCH($N9,Lge_Junior!$B:$B,0))),1,0))</f>
        <v>0</v>
      </c>
      <c r="F9" s="2">
        <f ca="1">IF($G9="","",IF(AND(LEFT($O9,3)="You",ISERROR(MATCH($N9,Lge_Youth!$B:$B,0))),1,0))</f>
        <v>0</v>
      </c>
      <c r="G9" s="3" t="str">
        <f ca="1">IFERROR(__xludf.DUMMYFUNCTION("""COMPUTED_VALUE"""),"45815_Saturday League_7")</f>
        <v>45815_Saturday League_7</v>
      </c>
      <c r="H9" s="3" t="str">
        <f ca="1">IFERROR(__xludf.DUMMYFUNCTION("""COMPUTED_VALUE"""),"45815_Saturday League_7_7")</f>
        <v>45815_Saturday League_7_7</v>
      </c>
      <c r="I9" s="3">
        <f ca="1">IFERROR(__xludf.DUMMYFUNCTION("""COMPUTED_VALUE"""),8)</f>
        <v>8</v>
      </c>
      <c r="J9" s="3" t="str">
        <f ca="1">IFERROR(__xludf.DUMMYFUNCTION("""COMPUTED_VALUE"""),"Saturday League")</f>
        <v>Saturday League</v>
      </c>
      <c r="K9" s="6">
        <f ca="1">IFERROR(__xludf.DUMMYFUNCTION("""COMPUTED_VALUE"""),45815)</f>
        <v>45815</v>
      </c>
      <c r="L9" s="4">
        <f ca="1">IFERROR(__xludf.DUMMYFUNCTION("""COMPUTED_VALUE"""),7)</f>
        <v>7</v>
      </c>
      <c r="M9" s="4">
        <f ca="1">IFERROR(__xludf.DUMMYFUNCTION("""COMPUTED_VALUE"""),7)</f>
        <v>7</v>
      </c>
      <c r="N9" s="8" t="str">
        <f ca="1">IFERROR(__xludf.DUMMYFUNCTION("""COMPUTED_VALUE"""),"Chris Smith")</f>
        <v>Chris Smith</v>
      </c>
      <c r="O9" s="8" t="str">
        <f ca="1">IFERROR(__xludf.DUMMYFUNCTION("""COMPUTED_VALUE"""),"Vet")</f>
        <v>Vet</v>
      </c>
      <c r="P9" s="9">
        <f ca="1">IFERROR(__xludf.DUMMYFUNCTION("""COMPUTED_VALUE"""),0.0158680555555555)</f>
        <v>1.58680555555555E-2</v>
      </c>
      <c r="Q9" s="8" t="str">
        <f ca="1">IFERROR(__xludf.DUMMYFUNCTION("""COMPUTED_VALUE"""),"Non-aero")</f>
        <v>Non-aero</v>
      </c>
      <c r="R9" s="8">
        <f ca="1">IFERROR(__xludf.DUMMYFUNCTION("""COMPUTED_VALUE"""),54)</f>
        <v>54</v>
      </c>
      <c r="S9" s="9"/>
      <c r="T9" s="8"/>
      <c r="U9" s="8">
        <f ca="1">IFERROR(__xludf.DUMMYFUNCTION("""COMPUTED_VALUE"""),60)</f>
        <v>60</v>
      </c>
      <c r="V9" s="9">
        <f ca="1">IFERROR(__xludf.DUMMYFUNCTION("""COMPUTED_VALUE"""),0.0148877314814814)</f>
        <v>1.4887731481481399E-2</v>
      </c>
      <c r="W9" s="8">
        <f ca="1">IFERROR(__xludf.DUMMYFUNCTION("""COMPUTED_VALUE"""),8)</f>
        <v>8</v>
      </c>
      <c r="X9" s="8">
        <f ca="1">IFERROR(__xludf.DUMMYFUNCTION("""COMPUTED_VALUE"""),53)</f>
        <v>53</v>
      </c>
      <c r="Y9" s="8">
        <f ca="1">IFERROR(__xludf.DUMMYFUNCTION("""COMPUTED_VALUE"""),0)</f>
        <v>0</v>
      </c>
      <c r="Z9" s="8">
        <f ca="1">IFERROR(__xludf.DUMMYFUNCTION("""COMPUTED_VALUE"""),0)</f>
        <v>0</v>
      </c>
      <c r="AA9" s="8">
        <f ca="1">IFERROR(__xludf.DUMMYFUNCTION("""COMPUTED_VALUE"""),0)</f>
        <v>0</v>
      </c>
      <c r="AB9" s="8">
        <f ca="1">IFERROR(__xludf.DUMMYFUNCTION("""COMPUTED_VALUE"""),0)</f>
        <v>0</v>
      </c>
      <c r="AC9" s="8">
        <f ca="1">IFERROR(__xludf.DUMMYFUNCTION("""COMPUTED_VALUE"""),0)</f>
        <v>0</v>
      </c>
      <c r="AD9" s="8">
        <f ca="1">IFERROR(__xludf.DUMMYFUNCTION("""COMPUTED_VALUE"""),0)</f>
        <v>0</v>
      </c>
      <c r="AE9" s="8">
        <f ca="1">IFERROR(__xludf.DUMMYFUNCTION("""COMPUTED_VALUE"""),55)</f>
        <v>55</v>
      </c>
      <c r="AF9" s="8">
        <f ca="1">IFERROR(__xludf.DUMMYFUNCTION("""COMPUTED_VALUE"""),6)</f>
        <v>6</v>
      </c>
      <c r="AG9" s="8" t="str">
        <f ca="1">IFERROR(__xludf.DUMMYFUNCTION("""COMPUTED_VALUE"""),"")</f>
        <v/>
      </c>
      <c r="AH9" s="8">
        <f ca="1">IFERROR(__xludf.DUMMYFUNCTION("""COMPUTED_VALUE"""),0)</f>
        <v>0</v>
      </c>
      <c r="AI9" s="8" t="str">
        <f ca="1">IFERROR(__xludf.DUMMYFUNCTION("""COMPUTED_VALUE"""),"")</f>
        <v/>
      </c>
      <c r="AJ9" s="8" t="str">
        <f ca="1">IFERROR(__xludf.DUMMYFUNCTION("""COMPUTED_VALUE"""),"")</f>
        <v/>
      </c>
      <c r="AK9" s="8" t="str">
        <f ca="1">IFERROR(__xludf.DUMMYFUNCTION("""COMPUTED_VALUE"""),"")</f>
        <v/>
      </c>
      <c r="AL9" s="8" t="str">
        <f ca="1">IFERROR(__xludf.DUMMYFUNCTION("""COMPUTED_VALUE"""),"")</f>
        <v/>
      </c>
      <c r="AM9" s="10" t="str">
        <f ca="1">IFERROR(__xludf.DUMMYFUNCTION("""COMPUTED_VALUE"""),"")</f>
        <v/>
      </c>
    </row>
    <row r="10" spans="1:39" x14ac:dyDescent="0.2">
      <c r="A10" s="2">
        <f ca="1">IF($G10="","",IF(ISERROR(MATCH($N10,Lge_Scratch!$B:$B,0)),1,0))</f>
        <v>0</v>
      </c>
      <c r="B10" s="2">
        <f ca="1">IF($G10="","",IF(AND(LEFT($Q10,8)="Non-aero",ISERROR(MATCH($N10,Lge_NonAero!$B:$B,0))),1,0))</f>
        <v>0</v>
      </c>
      <c r="C10" s="5">
        <f ca="1">IF($G10="","",IF(AND(LEFT($O10,3)="Wom",ISERROR(MATCH($N10,Lge_Women!$B:$B,0))),1,0))</f>
        <v>0</v>
      </c>
      <c r="D10" s="2">
        <f ca="1">IF($G10="","",IF(AND(OR($O10="Vet",$O10="Woman Vet"),ISERROR(MATCH($N10,Lge_Vets!$B:$B,0))),1,0))</f>
        <v>0</v>
      </c>
      <c r="E10" s="2">
        <f ca="1">IF($G10="","",IF(AND(OR($O10="Junior",$O10="Woman Junior",$O10="Youth",$O10="Woman Youth"),ISERROR(MATCH($N10,Lge_Junior!$B:$B,0))),1,0))</f>
        <v>0</v>
      </c>
      <c r="F10" s="2">
        <f ca="1">IF($G10="","",IF(AND(LEFT($O10,3)="You",ISERROR(MATCH($N10,Lge_Youth!$B:$B,0))),1,0))</f>
        <v>0</v>
      </c>
      <c r="G10" s="3" t="str">
        <f ca="1">IFERROR(__xludf.DUMMYFUNCTION("""COMPUTED_VALUE"""),"45815_Saturday League_7")</f>
        <v>45815_Saturday League_7</v>
      </c>
      <c r="H10" s="3" t="str">
        <f ca="1">IFERROR(__xludf.DUMMYFUNCTION("""COMPUTED_VALUE"""),"45815_Saturday League_7_8")</f>
        <v>45815_Saturday League_7_8</v>
      </c>
      <c r="I10" s="3">
        <f ca="1">IFERROR(__xludf.DUMMYFUNCTION("""COMPUTED_VALUE"""),8)</f>
        <v>8</v>
      </c>
      <c r="J10" s="3" t="str">
        <f ca="1">IFERROR(__xludf.DUMMYFUNCTION("""COMPUTED_VALUE"""),"Saturday League")</f>
        <v>Saturday League</v>
      </c>
      <c r="K10" s="6">
        <f ca="1">IFERROR(__xludf.DUMMYFUNCTION("""COMPUTED_VALUE"""),45815)</f>
        <v>45815</v>
      </c>
      <c r="L10" s="4">
        <f ca="1">IFERROR(__xludf.DUMMYFUNCTION("""COMPUTED_VALUE"""),7)</f>
        <v>7</v>
      </c>
      <c r="M10" s="4">
        <f ca="1">IFERROR(__xludf.DUMMYFUNCTION("""COMPUTED_VALUE"""),8)</f>
        <v>8</v>
      </c>
      <c r="N10" s="8" t="str">
        <f ca="1">IFERROR(__xludf.DUMMYFUNCTION("""COMPUTED_VALUE"""),"Carol Cartwright")</f>
        <v>Carol Cartwright</v>
      </c>
      <c r="O10" s="8" t="str">
        <f ca="1">IFERROR(__xludf.DUMMYFUNCTION("""COMPUTED_VALUE"""),"Woman Vet")</f>
        <v>Woman Vet</v>
      </c>
      <c r="P10" s="9">
        <f ca="1">IFERROR(__xludf.DUMMYFUNCTION("""COMPUTED_VALUE"""),0.0174768518518518)</f>
        <v>1.7476851851851799E-2</v>
      </c>
      <c r="Q10" s="8" t="str">
        <f ca="1">IFERROR(__xludf.DUMMYFUNCTION("""COMPUTED_VALUE"""),"Non-aero Age Record")</f>
        <v>Non-aero Age Record</v>
      </c>
      <c r="R10" s="8">
        <f ca="1">IFERROR(__xludf.DUMMYFUNCTION("""COMPUTED_VALUE"""),53)</f>
        <v>53</v>
      </c>
      <c r="S10" s="9"/>
      <c r="T10" s="8"/>
      <c r="U10" s="8">
        <f ca="1">IFERROR(__xludf.DUMMYFUNCTION("""COMPUTED_VALUE"""),60)</f>
        <v>60</v>
      </c>
      <c r="V10" s="9">
        <f ca="1">IFERROR(__xludf.DUMMYFUNCTION("""COMPUTED_VALUE"""),0.0140821759259259)</f>
        <v>1.4082175925925901E-2</v>
      </c>
      <c r="W10" s="8">
        <f ca="1">IFERROR(__xludf.DUMMYFUNCTION("""COMPUTED_VALUE"""),5)</f>
        <v>5</v>
      </c>
      <c r="X10" s="8">
        <f ca="1">IFERROR(__xludf.DUMMYFUNCTION("""COMPUTED_VALUE"""),56)</f>
        <v>56</v>
      </c>
      <c r="Y10" s="8">
        <f ca="1">IFERROR(__xludf.DUMMYFUNCTION("""COMPUTED_VALUE"""),1)</f>
        <v>1</v>
      </c>
      <c r="Z10" s="8">
        <f ca="1">IFERROR(__xludf.DUMMYFUNCTION("""COMPUTED_VALUE"""),60)</f>
        <v>60</v>
      </c>
      <c r="AA10" s="8">
        <f ca="1">IFERROR(__xludf.DUMMYFUNCTION("""COMPUTED_VALUE"""),0)</f>
        <v>0</v>
      </c>
      <c r="AB10" s="8">
        <f ca="1">IFERROR(__xludf.DUMMYFUNCTION("""COMPUTED_VALUE"""),0)</f>
        <v>0</v>
      </c>
      <c r="AC10" s="8">
        <f ca="1">IFERROR(__xludf.DUMMYFUNCTION("""COMPUTED_VALUE"""),0)</f>
        <v>0</v>
      </c>
      <c r="AD10" s="8">
        <f ca="1">IFERROR(__xludf.DUMMYFUNCTION("""COMPUTED_VALUE"""),0)</f>
        <v>0</v>
      </c>
      <c r="AE10" s="8">
        <f ca="1">IFERROR(__xludf.DUMMYFUNCTION("""COMPUTED_VALUE"""),54)</f>
        <v>54</v>
      </c>
      <c r="AF10" s="8">
        <f ca="1">IFERROR(__xludf.DUMMYFUNCTION("""COMPUTED_VALUE"""),7)</f>
        <v>7</v>
      </c>
      <c r="AG10" s="8" t="str">
        <f ca="1">IFERROR(__xludf.DUMMYFUNCTION("""COMPUTED_VALUE"""),"")</f>
        <v/>
      </c>
      <c r="AH10" s="8">
        <f ca="1">IFERROR(__xludf.DUMMYFUNCTION("""COMPUTED_VALUE"""),0)</f>
        <v>0</v>
      </c>
      <c r="AI10" s="8" t="str">
        <f ca="1">IFERROR(__xludf.DUMMYFUNCTION("""COMPUTED_VALUE"""),"")</f>
        <v/>
      </c>
      <c r="AJ10" s="8" t="str">
        <f ca="1">IFERROR(__xludf.DUMMYFUNCTION("""COMPUTED_VALUE"""),"")</f>
        <v/>
      </c>
      <c r="AK10" s="8" t="str">
        <f ca="1">IFERROR(__xludf.DUMMYFUNCTION("""COMPUTED_VALUE"""),"")</f>
        <v/>
      </c>
      <c r="AL10" s="8" t="str">
        <f ca="1">IFERROR(__xludf.DUMMYFUNCTION("""COMPUTED_VALUE"""),"Age Record")</f>
        <v>Age Record</v>
      </c>
      <c r="AM10" s="10" t="str">
        <f ca="1">IFERROR(__xludf.DUMMYFUNCTION("""COMPUTED_VALUE"""),"")</f>
        <v/>
      </c>
    </row>
    <row r="11" spans="1:39" x14ac:dyDescent="0.2">
      <c r="A11" s="2">
        <f ca="1">IF($G11="","",IF(ISERROR(MATCH($N11,Lge_Scratch!$B:$B,0)),1,0))</f>
        <v>0</v>
      </c>
      <c r="B11" s="2">
        <f ca="1">IF($G11="","",IF(AND(LEFT($Q11,8)="Non-aero",ISERROR(MATCH($N11,Lge_NonAero!$B:$B,0))),1,0))</f>
        <v>0</v>
      </c>
      <c r="C11" s="5">
        <f ca="1">IF($G11="","",IF(AND(LEFT($O11,3)="Wom",ISERROR(MATCH($N11,Lge_Women!$B:$B,0))),1,0))</f>
        <v>0</v>
      </c>
      <c r="D11" s="2">
        <f ca="1">IF($G11="","",IF(AND(OR($O11="Vet",$O11="Woman Vet"),ISERROR(MATCH($N11,Lge_Vets!$B:$B,0))),1,0))</f>
        <v>0</v>
      </c>
      <c r="E11" s="2">
        <f ca="1">IF($G11="","",IF(AND(OR($O11="Junior",$O11="Woman Junior",$O11="Youth",$O11="Woman Youth"),ISERROR(MATCH($N11,Lge_Junior!$B:$B,0))),1,0))</f>
        <v>0</v>
      </c>
      <c r="F11" s="2">
        <f ca="1">IF($G11="","",IF(AND(LEFT($O11,3)="You",ISERROR(MATCH($N11,Lge_Youth!$B:$B,0))),1,0))</f>
        <v>0</v>
      </c>
      <c r="G11" s="3" t="str">
        <f ca="1">IFERROR(__xludf.DUMMYFUNCTION("""COMPUTED_VALUE"""),"45822_Saturday League_7")</f>
        <v>45822_Saturday League_7</v>
      </c>
      <c r="H11" s="3" t="str">
        <f ca="1">IFERROR(__xludf.DUMMYFUNCTION("""COMPUTED_VALUE"""),"45822_Saturday League_7_1")</f>
        <v>45822_Saturday League_7_1</v>
      </c>
      <c r="I11" s="3">
        <f ca="1">IFERROR(__xludf.DUMMYFUNCTION("""COMPUTED_VALUE"""),9)</f>
        <v>9</v>
      </c>
      <c r="J11" s="3" t="str">
        <f ca="1">IFERROR(__xludf.DUMMYFUNCTION("""COMPUTED_VALUE"""),"Saturday League")</f>
        <v>Saturday League</v>
      </c>
      <c r="K11" s="6">
        <f ca="1">IFERROR(__xludf.DUMMYFUNCTION("""COMPUTED_VALUE"""),45822)</f>
        <v>45822</v>
      </c>
      <c r="L11" s="4">
        <f ca="1">IFERROR(__xludf.DUMMYFUNCTION("""COMPUTED_VALUE"""),7)</f>
        <v>7</v>
      </c>
      <c r="M11" s="4">
        <f ca="1">IFERROR(__xludf.DUMMYFUNCTION("""COMPUTED_VALUE"""),1)</f>
        <v>1</v>
      </c>
      <c r="N11" s="8" t="str">
        <f ca="1">IFERROR(__xludf.DUMMYFUNCTION("""COMPUTED_VALUE"""),"Danny Jago")</f>
        <v>Danny Jago</v>
      </c>
      <c r="O11" s="8" t="str">
        <f ca="1">IFERROR(__xludf.DUMMYFUNCTION("""COMPUTED_VALUE"""),"Vet")</f>
        <v>Vet</v>
      </c>
      <c r="P11" s="9">
        <f ca="1">IFERROR(__xludf.DUMMYFUNCTION("""COMPUTED_VALUE"""),0.0132407407407407)</f>
        <v>1.3240740740740701E-2</v>
      </c>
      <c r="Q11" s="8" t="str">
        <f ca="1">IFERROR(__xludf.DUMMYFUNCTION("""COMPUTED_VALUE"""),"PB")</f>
        <v>PB</v>
      </c>
      <c r="R11" s="8">
        <f ca="1">IFERROR(__xludf.DUMMYFUNCTION("""COMPUTED_VALUE"""),60)</f>
        <v>60</v>
      </c>
      <c r="S11" s="9"/>
      <c r="T11" s="8"/>
      <c r="U11" s="8">
        <f ca="1">IFERROR(__xludf.DUMMYFUNCTION("""COMPUTED_VALUE"""),60)</f>
        <v>60</v>
      </c>
      <c r="V11" s="9">
        <f ca="1">IFERROR(__xludf.DUMMYFUNCTION("""COMPUTED_VALUE"""),0.0131273148148148)</f>
        <v>1.31273148148148E-2</v>
      </c>
      <c r="W11" s="8">
        <f ca="1">IFERROR(__xludf.DUMMYFUNCTION("""COMPUTED_VALUE"""),4)</f>
        <v>4</v>
      </c>
      <c r="X11" s="8">
        <f ca="1">IFERROR(__xludf.DUMMYFUNCTION("""COMPUTED_VALUE"""),57)</f>
        <v>57</v>
      </c>
      <c r="Y11" s="8">
        <f ca="1">IFERROR(__xludf.DUMMYFUNCTION("""COMPUTED_VALUE"""),0)</f>
        <v>0</v>
      </c>
      <c r="Z11" s="8">
        <f ca="1">IFERROR(__xludf.DUMMYFUNCTION("""COMPUTED_VALUE"""),0)</f>
        <v>0</v>
      </c>
      <c r="AA11" s="8">
        <f ca="1">IFERROR(__xludf.DUMMYFUNCTION("""COMPUTED_VALUE"""),0)</f>
        <v>0</v>
      </c>
      <c r="AB11" s="8">
        <f ca="1">IFERROR(__xludf.DUMMYFUNCTION("""COMPUTED_VALUE"""),0)</f>
        <v>0</v>
      </c>
      <c r="AC11" s="8">
        <f ca="1">IFERROR(__xludf.DUMMYFUNCTION("""COMPUTED_VALUE"""),0)</f>
        <v>0</v>
      </c>
      <c r="AD11" s="8">
        <f ca="1">IFERROR(__xludf.DUMMYFUNCTION("""COMPUTED_VALUE"""),0)</f>
        <v>0</v>
      </c>
      <c r="AE11" s="8">
        <f ca="1">IFERROR(__xludf.DUMMYFUNCTION("""COMPUTED_VALUE"""),0)</f>
        <v>0</v>
      </c>
      <c r="AF11" s="8" t="str">
        <f ca="1">IFERROR(__xludf.DUMMYFUNCTION("""COMPUTED_VALUE"""),"")</f>
        <v/>
      </c>
      <c r="AG11" s="8" t="str">
        <f ca="1">IFERROR(__xludf.DUMMYFUNCTION("""COMPUTED_VALUE"""),"")</f>
        <v/>
      </c>
      <c r="AH11" s="8">
        <f ca="1">IFERROR(__xludf.DUMMYFUNCTION("""COMPUTED_VALUE"""),0)</f>
        <v>0</v>
      </c>
      <c r="AI11" s="8" t="str">
        <f ca="1">IFERROR(__xludf.DUMMYFUNCTION("""COMPUTED_VALUE"""),"")</f>
        <v/>
      </c>
      <c r="AJ11" s="8" t="str">
        <f ca="1">IFERROR(__xludf.DUMMYFUNCTION("""COMPUTED_VALUE"""),"PB")</f>
        <v>PB</v>
      </c>
      <c r="AK11" s="8" t="str">
        <f ca="1">IFERROR(__xludf.DUMMYFUNCTION("""COMPUTED_VALUE"""),"")</f>
        <v/>
      </c>
      <c r="AL11" s="8" t="str">
        <f ca="1">IFERROR(__xludf.DUMMYFUNCTION("""COMPUTED_VALUE"""),"")</f>
        <v/>
      </c>
      <c r="AM11" s="10" t="str">
        <f ca="1">IFERROR(__xludf.DUMMYFUNCTION("""COMPUTED_VALUE"""),"")</f>
        <v/>
      </c>
    </row>
    <row r="12" spans="1:39" x14ac:dyDescent="0.2">
      <c r="A12" s="2">
        <f ca="1">IF($G12="","",IF(ISERROR(MATCH($N12,Lge_Scratch!$B:$B,0)),1,0))</f>
        <v>0</v>
      </c>
      <c r="B12" s="2">
        <f ca="1">IF($G12="","",IF(AND(LEFT($Q12,8)="Non-aero",ISERROR(MATCH($N12,Lge_NonAero!$B:$B,0))),1,0))</f>
        <v>0</v>
      </c>
      <c r="C12" s="5">
        <f ca="1">IF($G12="","",IF(AND(LEFT($O12,3)="Wom",ISERROR(MATCH($N12,Lge_Women!$B:$B,0))),1,0))</f>
        <v>0</v>
      </c>
      <c r="D12" s="2">
        <f ca="1">IF($G12="","",IF(AND(OR($O12="Vet",$O12="Woman Vet"),ISERROR(MATCH($N12,Lge_Vets!$B:$B,0))),1,0))</f>
        <v>0</v>
      </c>
      <c r="E12" s="2">
        <f ca="1">IF($G12="","",IF(AND(OR($O12="Junior",$O12="Woman Junior",$O12="Youth",$O12="Woman Youth"),ISERROR(MATCH($N12,Lge_Junior!$B:$B,0))),1,0))</f>
        <v>0</v>
      </c>
      <c r="F12" s="2">
        <f ca="1">IF($G12="","",IF(AND(LEFT($O12,3)="You",ISERROR(MATCH($N12,Lge_Youth!$B:$B,0))),1,0))</f>
        <v>0</v>
      </c>
      <c r="G12" s="3" t="str">
        <f ca="1">IFERROR(__xludf.DUMMYFUNCTION("""COMPUTED_VALUE"""),"45822_Saturday League_7")</f>
        <v>45822_Saturday League_7</v>
      </c>
      <c r="H12" s="3" t="str">
        <f ca="1">IFERROR(__xludf.DUMMYFUNCTION("""COMPUTED_VALUE"""),"45822_Saturday League_7_2")</f>
        <v>45822_Saturday League_7_2</v>
      </c>
      <c r="I12" s="3">
        <f ca="1">IFERROR(__xludf.DUMMYFUNCTION("""COMPUTED_VALUE"""),9)</f>
        <v>9</v>
      </c>
      <c r="J12" s="3" t="str">
        <f ca="1">IFERROR(__xludf.DUMMYFUNCTION("""COMPUTED_VALUE"""),"Saturday League")</f>
        <v>Saturday League</v>
      </c>
      <c r="K12" s="6">
        <f ca="1">IFERROR(__xludf.DUMMYFUNCTION("""COMPUTED_VALUE"""),45822)</f>
        <v>45822</v>
      </c>
      <c r="L12" s="4">
        <f ca="1">IFERROR(__xludf.DUMMYFUNCTION("""COMPUTED_VALUE"""),7)</f>
        <v>7</v>
      </c>
      <c r="M12" s="4">
        <f ca="1">IFERROR(__xludf.DUMMYFUNCTION("""COMPUTED_VALUE"""),2)</f>
        <v>2</v>
      </c>
      <c r="N12" s="8" t="str">
        <f ca="1">IFERROR(__xludf.DUMMYFUNCTION("""COMPUTED_VALUE"""),"Isaac Phillips")</f>
        <v>Isaac Phillips</v>
      </c>
      <c r="O12" s="8" t="str">
        <f ca="1">IFERROR(__xludf.DUMMYFUNCTION("""COMPUTED_VALUE"""),"Senior")</f>
        <v>Senior</v>
      </c>
      <c r="P12" s="9">
        <f ca="1">IFERROR(__xludf.DUMMYFUNCTION("""COMPUTED_VALUE"""),0.0133912037037037)</f>
        <v>1.33912037037037E-2</v>
      </c>
      <c r="Q12" s="8" t="str">
        <f ca="1">IFERROR(__xludf.DUMMYFUNCTION("""COMPUTED_VALUE"""),"Non-aero PB")</f>
        <v>Non-aero PB</v>
      </c>
      <c r="R12" s="8">
        <f ca="1">IFERROR(__xludf.DUMMYFUNCTION("""COMPUTED_VALUE"""),59)</f>
        <v>59</v>
      </c>
      <c r="S12" s="9"/>
      <c r="T12" s="8"/>
      <c r="U12" s="8">
        <f ca="1">IFERROR(__xludf.DUMMYFUNCTION("""COMPUTED_VALUE"""),60)</f>
        <v>60</v>
      </c>
      <c r="V12" s="9">
        <f ca="1">IFERROR(__xludf.DUMMYFUNCTION("""COMPUTED_VALUE"""),0)</f>
        <v>0</v>
      </c>
      <c r="W12" s="8">
        <f ca="1">IFERROR(__xludf.DUMMYFUNCTION("""COMPUTED_VALUE"""),0)</f>
        <v>0</v>
      </c>
      <c r="X12" s="8">
        <f ca="1">IFERROR(__xludf.DUMMYFUNCTION("""COMPUTED_VALUE"""),0)</f>
        <v>0</v>
      </c>
      <c r="Y12" s="8">
        <f ca="1">IFERROR(__xludf.DUMMYFUNCTION("""COMPUTED_VALUE"""),0)</f>
        <v>0</v>
      </c>
      <c r="Z12" s="8">
        <f ca="1">IFERROR(__xludf.DUMMYFUNCTION("""COMPUTED_VALUE"""),0)</f>
        <v>0</v>
      </c>
      <c r="AA12" s="8">
        <f ca="1">IFERROR(__xludf.DUMMYFUNCTION("""COMPUTED_VALUE"""),0)</f>
        <v>0</v>
      </c>
      <c r="AB12" s="8">
        <f ca="1">IFERROR(__xludf.DUMMYFUNCTION("""COMPUTED_VALUE"""),0)</f>
        <v>0</v>
      </c>
      <c r="AC12" s="8">
        <f ca="1">IFERROR(__xludf.DUMMYFUNCTION("""COMPUTED_VALUE"""),0)</f>
        <v>0</v>
      </c>
      <c r="AD12" s="8">
        <f ca="1">IFERROR(__xludf.DUMMYFUNCTION("""COMPUTED_VALUE"""),0)</f>
        <v>0</v>
      </c>
      <c r="AE12" s="8">
        <f ca="1">IFERROR(__xludf.DUMMYFUNCTION("""COMPUTED_VALUE"""),60)</f>
        <v>60</v>
      </c>
      <c r="AF12" s="8">
        <f ca="1">IFERROR(__xludf.DUMMYFUNCTION("""COMPUTED_VALUE"""),1)</f>
        <v>1</v>
      </c>
      <c r="AG12" s="8" t="str">
        <f ca="1">IFERROR(__xludf.DUMMYFUNCTION("""COMPUTED_VALUE"""),"")</f>
        <v/>
      </c>
      <c r="AH12" s="8">
        <f ca="1">IFERROR(__xludf.DUMMYFUNCTION("""COMPUTED_VALUE"""),0)</f>
        <v>0</v>
      </c>
      <c r="AI12" s="8" t="str">
        <f ca="1">IFERROR(__xludf.DUMMYFUNCTION("""COMPUTED_VALUE"""),"")</f>
        <v/>
      </c>
      <c r="AJ12" s="8" t="str">
        <f ca="1">IFERROR(__xludf.DUMMYFUNCTION("""COMPUTED_VALUE"""),"PB")</f>
        <v>PB</v>
      </c>
      <c r="AK12" s="8" t="str">
        <f ca="1">IFERROR(__xludf.DUMMYFUNCTION("""COMPUTED_VALUE"""),"")</f>
        <v/>
      </c>
      <c r="AL12" s="8" t="str">
        <f ca="1">IFERROR(__xludf.DUMMYFUNCTION("""COMPUTED_VALUE"""),"")</f>
        <v/>
      </c>
      <c r="AM12" s="10" t="str">
        <f ca="1">IFERROR(__xludf.DUMMYFUNCTION("""COMPUTED_VALUE"""),"")</f>
        <v/>
      </c>
    </row>
    <row r="13" spans="1:39" x14ac:dyDescent="0.2">
      <c r="A13" s="2">
        <f ca="1">IF($G13="","",IF(ISERROR(MATCH($N13,Lge_Scratch!$B:$B,0)),1,0))</f>
        <v>0</v>
      </c>
      <c r="B13" s="2">
        <f ca="1">IF($G13="","",IF(AND(LEFT($Q13,8)="Non-aero",ISERROR(MATCH($N13,Lge_NonAero!$B:$B,0))),1,0))</f>
        <v>0</v>
      </c>
      <c r="C13" s="5">
        <f ca="1">IF($G13="","",IF(AND(LEFT($O13,3)="Wom",ISERROR(MATCH($N13,Lge_Women!$B:$B,0))),1,0))</f>
        <v>0</v>
      </c>
      <c r="D13" s="2">
        <f ca="1">IF($G13="","",IF(AND(OR($O13="Vet",$O13="Woman Vet"),ISERROR(MATCH($N13,Lge_Vets!$B:$B,0))),1,0))</f>
        <v>0</v>
      </c>
      <c r="E13" s="2">
        <f ca="1">IF($G13="","",IF(AND(OR($O13="Junior",$O13="Woman Junior",$O13="Youth",$O13="Woman Youth"),ISERROR(MATCH($N13,Lge_Junior!$B:$B,0))),1,0))</f>
        <v>0</v>
      </c>
      <c r="F13" s="2">
        <f ca="1">IF($G13="","",IF(AND(LEFT($O13,3)="You",ISERROR(MATCH($N13,Lge_Youth!$B:$B,0))),1,0))</f>
        <v>0</v>
      </c>
      <c r="G13" s="3" t="str">
        <f ca="1">IFERROR(__xludf.DUMMYFUNCTION("""COMPUTED_VALUE"""),"45822_Saturday League_7")</f>
        <v>45822_Saturday League_7</v>
      </c>
      <c r="H13" s="3" t="str">
        <f ca="1">IFERROR(__xludf.DUMMYFUNCTION("""COMPUTED_VALUE"""),"45822_Saturday League_7_3")</f>
        <v>45822_Saturday League_7_3</v>
      </c>
      <c r="I13" s="3">
        <f ca="1">IFERROR(__xludf.DUMMYFUNCTION("""COMPUTED_VALUE"""),9)</f>
        <v>9</v>
      </c>
      <c r="J13" s="3" t="str">
        <f ca="1">IFERROR(__xludf.DUMMYFUNCTION("""COMPUTED_VALUE"""),"Saturday League")</f>
        <v>Saturday League</v>
      </c>
      <c r="K13" s="6">
        <f ca="1">IFERROR(__xludf.DUMMYFUNCTION("""COMPUTED_VALUE"""),45822)</f>
        <v>45822</v>
      </c>
      <c r="L13" s="4">
        <f ca="1">IFERROR(__xludf.DUMMYFUNCTION("""COMPUTED_VALUE"""),7)</f>
        <v>7</v>
      </c>
      <c r="M13" s="4">
        <f ca="1">IFERROR(__xludf.DUMMYFUNCTION("""COMPUTED_VALUE"""),3)</f>
        <v>3</v>
      </c>
      <c r="N13" s="8" t="str">
        <f ca="1">IFERROR(__xludf.DUMMYFUNCTION("""COMPUTED_VALUE"""),"Ben Pennington")</f>
        <v>Ben Pennington</v>
      </c>
      <c r="O13" s="8" t="str">
        <f ca="1">IFERROR(__xludf.DUMMYFUNCTION("""COMPUTED_VALUE"""),"Vet")</f>
        <v>Vet</v>
      </c>
      <c r="P13" s="9">
        <f ca="1">IFERROR(__xludf.DUMMYFUNCTION("""COMPUTED_VALUE"""),0.0135069444444444)</f>
        <v>1.35069444444444E-2</v>
      </c>
      <c r="Q13" s="8" t="str">
        <f ca="1">IFERROR(__xludf.DUMMYFUNCTION("""COMPUTED_VALUE"""),"Non-aero PB")</f>
        <v>Non-aero PB</v>
      </c>
      <c r="R13" s="8">
        <f ca="1">IFERROR(__xludf.DUMMYFUNCTION("""COMPUTED_VALUE"""),58)</f>
        <v>58</v>
      </c>
      <c r="S13" s="9"/>
      <c r="T13" s="8"/>
      <c r="U13" s="8">
        <f ca="1">IFERROR(__xludf.DUMMYFUNCTION("""COMPUTED_VALUE"""),60)</f>
        <v>60</v>
      </c>
      <c r="V13" s="9">
        <f ca="1">IFERROR(__xludf.DUMMYFUNCTION("""COMPUTED_VALUE"""),0.013255787037037)</f>
        <v>1.3255787037037E-2</v>
      </c>
      <c r="W13" s="8">
        <f ca="1">IFERROR(__xludf.DUMMYFUNCTION("""COMPUTED_VALUE"""),5)</f>
        <v>5</v>
      </c>
      <c r="X13" s="8">
        <f ca="1">IFERROR(__xludf.DUMMYFUNCTION("""COMPUTED_VALUE"""),56)</f>
        <v>56</v>
      </c>
      <c r="Y13" s="8">
        <f ca="1">IFERROR(__xludf.DUMMYFUNCTION("""COMPUTED_VALUE"""),0)</f>
        <v>0</v>
      </c>
      <c r="Z13" s="8">
        <f ca="1">IFERROR(__xludf.DUMMYFUNCTION("""COMPUTED_VALUE"""),0)</f>
        <v>0</v>
      </c>
      <c r="AA13" s="8">
        <f ca="1">IFERROR(__xludf.DUMMYFUNCTION("""COMPUTED_VALUE"""),0)</f>
        <v>0</v>
      </c>
      <c r="AB13" s="8">
        <f ca="1">IFERROR(__xludf.DUMMYFUNCTION("""COMPUTED_VALUE"""),0)</f>
        <v>0</v>
      </c>
      <c r="AC13" s="8">
        <f ca="1">IFERROR(__xludf.DUMMYFUNCTION("""COMPUTED_VALUE"""),0)</f>
        <v>0</v>
      </c>
      <c r="AD13" s="8">
        <f ca="1">IFERROR(__xludf.DUMMYFUNCTION("""COMPUTED_VALUE"""),0)</f>
        <v>0</v>
      </c>
      <c r="AE13" s="8">
        <f ca="1">IFERROR(__xludf.DUMMYFUNCTION("""COMPUTED_VALUE"""),59)</f>
        <v>59</v>
      </c>
      <c r="AF13" s="8">
        <f ca="1">IFERROR(__xludf.DUMMYFUNCTION("""COMPUTED_VALUE"""),2)</f>
        <v>2</v>
      </c>
      <c r="AG13" s="8" t="str">
        <f ca="1">IFERROR(__xludf.DUMMYFUNCTION("""COMPUTED_VALUE"""),"")</f>
        <v/>
      </c>
      <c r="AH13" s="8">
        <f ca="1">IFERROR(__xludf.DUMMYFUNCTION("""COMPUTED_VALUE"""),0)</f>
        <v>0</v>
      </c>
      <c r="AI13" s="8" t="str">
        <f ca="1">IFERROR(__xludf.DUMMYFUNCTION("""COMPUTED_VALUE"""),"")</f>
        <v/>
      </c>
      <c r="AJ13" s="8" t="str">
        <f ca="1">IFERROR(__xludf.DUMMYFUNCTION("""COMPUTED_VALUE"""),"PB")</f>
        <v>PB</v>
      </c>
      <c r="AK13" s="8" t="str">
        <f ca="1">IFERROR(__xludf.DUMMYFUNCTION("""COMPUTED_VALUE"""),"")</f>
        <v/>
      </c>
      <c r="AL13" s="8" t="str">
        <f ca="1">IFERROR(__xludf.DUMMYFUNCTION("""COMPUTED_VALUE"""),"")</f>
        <v/>
      </c>
      <c r="AM13" s="10" t="str">
        <f ca="1">IFERROR(__xludf.DUMMYFUNCTION("""COMPUTED_VALUE"""),"")</f>
        <v/>
      </c>
    </row>
    <row r="14" spans="1:39" x14ac:dyDescent="0.2">
      <c r="A14" s="2">
        <f ca="1">IF($G14="","",IF(ISERROR(MATCH($N14,Lge_Scratch!$B:$B,0)),1,0))</f>
        <v>0</v>
      </c>
      <c r="B14" s="2">
        <f ca="1">IF($G14="","",IF(AND(LEFT($Q14,8)="Non-aero",ISERROR(MATCH($N14,Lge_NonAero!$B:$B,0))),1,0))</f>
        <v>0</v>
      </c>
      <c r="C14" s="5">
        <f ca="1">IF($G14="","",IF(AND(LEFT($O14,3)="Wom",ISERROR(MATCH($N14,Lge_Women!$B:$B,0))),1,0))</f>
        <v>0</v>
      </c>
      <c r="D14" s="2">
        <f ca="1">IF($G14="","",IF(AND(OR($O14="Vet",$O14="Woman Vet"),ISERROR(MATCH($N14,Lge_Vets!$B:$B,0))),1,0))</f>
        <v>0</v>
      </c>
      <c r="E14" s="2">
        <f ca="1">IF($G14="","",IF(AND(OR($O14="Junior",$O14="Woman Junior",$O14="Youth",$O14="Woman Youth"),ISERROR(MATCH($N14,Lge_Junior!$B:$B,0))),1,0))</f>
        <v>0</v>
      </c>
      <c r="F14" s="2">
        <f ca="1">IF($G14="","",IF(AND(LEFT($O14,3)="You",ISERROR(MATCH($N14,Lge_Youth!$B:$B,0))),1,0))</f>
        <v>0</v>
      </c>
      <c r="G14" s="3" t="str">
        <f ca="1">IFERROR(__xludf.DUMMYFUNCTION("""COMPUTED_VALUE"""),"45822_Saturday League_7")</f>
        <v>45822_Saturday League_7</v>
      </c>
      <c r="H14" s="3" t="str">
        <f ca="1">IFERROR(__xludf.DUMMYFUNCTION("""COMPUTED_VALUE"""),"45822_Saturday League_7_4")</f>
        <v>45822_Saturday League_7_4</v>
      </c>
      <c r="I14" s="3">
        <f ca="1">IFERROR(__xludf.DUMMYFUNCTION("""COMPUTED_VALUE"""),9)</f>
        <v>9</v>
      </c>
      <c r="J14" s="3" t="str">
        <f ca="1">IFERROR(__xludf.DUMMYFUNCTION("""COMPUTED_VALUE"""),"Saturday League")</f>
        <v>Saturday League</v>
      </c>
      <c r="K14" s="6">
        <f ca="1">IFERROR(__xludf.DUMMYFUNCTION("""COMPUTED_VALUE"""),45822)</f>
        <v>45822</v>
      </c>
      <c r="L14" s="4">
        <f ca="1">IFERROR(__xludf.DUMMYFUNCTION("""COMPUTED_VALUE"""),7)</f>
        <v>7</v>
      </c>
      <c r="M14" s="4">
        <f ca="1">IFERROR(__xludf.DUMMYFUNCTION("""COMPUTED_VALUE"""),4)</f>
        <v>4</v>
      </c>
      <c r="N14" s="8" t="str">
        <f ca="1">IFERROR(__xludf.DUMMYFUNCTION("""COMPUTED_VALUE"""),"Paul White")</f>
        <v>Paul White</v>
      </c>
      <c r="O14" s="8" t="str">
        <f ca="1">IFERROR(__xludf.DUMMYFUNCTION("""COMPUTED_VALUE"""),"Vet")</f>
        <v>Vet</v>
      </c>
      <c r="P14" s="9">
        <f ca="1">IFERROR(__xludf.DUMMYFUNCTION("""COMPUTED_VALUE"""),0.0136921296296296)</f>
        <v>1.3692129629629599E-2</v>
      </c>
      <c r="Q14" s="8" t="str">
        <f ca="1">IFERROR(__xludf.DUMMYFUNCTION("""COMPUTED_VALUE"""),"Non-aero")</f>
        <v>Non-aero</v>
      </c>
      <c r="R14" s="8">
        <f ca="1">IFERROR(__xludf.DUMMYFUNCTION("""COMPUTED_VALUE"""),57)</f>
        <v>57</v>
      </c>
      <c r="S14" s="9"/>
      <c r="T14" s="8"/>
      <c r="U14" s="8">
        <f ca="1">IFERROR(__xludf.DUMMYFUNCTION("""COMPUTED_VALUE"""),60)</f>
        <v>60</v>
      </c>
      <c r="V14" s="9">
        <f ca="1">IFERROR(__xludf.DUMMYFUNCTION("""COMPUTED_VALUE"""),0.0119259259259259)</f>
        <v>1.1925925925925901E-2</v>
      </c>
      <c r="W14" s="8">
        <f ca="1">IFERROR(__xludf.DUMMYFUNCTION("""COMPUTED_VALUE"""),1)</f>
        <v>1</v>
      </c>
      <c r="X14" s="8">
        <f ca="1">IFERROR(__xludf.DUMMYFUNCTION("""COMPUTED_VALUE"""),60)</f>
        <v>60</v>
      </c>
      <c r="Y14" s="8">
        <f ca="1">IFERROR(__xludf.DUMMYFUNCTION("""COMPUTED_VALUE"""),0)</f>
        <v>0</v>
      </c>
      <c r="Z14" s="8">
        <f ca="1">IFERROR(__xludf.DUMMYFUNCTION("""COMPUTED_VALUE"""),0)</f>
        <v>0</v>
      </c>
      <c r="AA14" s="8">
        <f ca="1">IFERROR(__xludf.DUMMYFUNCTION("""COMPUTED_VALUE"""),0)</f>
        <v>0</v>
      </c>
      <c r="AB14" s="8">
        <f ca="1">IFERROR(__xludf.DUMMYFUNCTION("""COMPUTED_VALUE"""),0)</f>
        <v>0</v>
      </c>
      <c r="AC14" s="8">
        <f ca="1">IFERROR(__xludf.DUMMYFUNCTION("""COMPUTED_VALUE"""),0)</f>
        <v>0</v>
      </c>
      <c r="AD14" s="8">
        <f ca="1">IFERROR(__xludf.DUMMYFUNCTION("""COMPUTED_VALUE"""),0)</f>
        <v>0</v>
      </c>
      <c r="AE14" s="8">
        <f ca="1">IFERROR(__xludf.DUMMYFUNCTION("""COMPUTED_VALUE"""),58)</f>
        <v>58</v>
      </c>
      <c r="AF14" s="8">
        <f ca="1">IFERROR(__xludf.DUMMYFUNCTION("""COMPUTED_VALUE"""),3)</f>
        <v>3</v>
      </c>
      <c r="AG14" s="8" t="str">
        <f ca="1">IFERROR(__xludf.DUMMYFUNCTION("""COMPUTED_VALUE"""),"")</f>
        <v/>
      </c>
      <c r="AH14" s="8">
        <f ca="1">IFERROR(__xludf.DUMMYFUNCTION("""COMPUTED_VALUE"""),0)</f>
        <v>0</v>
      </c>
      <c r="AI14" s="8" t="str">
        <f ca="1">IFERROR(__xludf.DUMMYFUNCTION("""COMPUTED_VALUE"""),"")</f>
        <v/>
      </c>
      <c r="AJ14" s="8" t="str">
        <f ca="1">IFERROR(__xludf.DUMMYFUNCTION("""COMPUTED_VALUE"""),"")</f>
        <v/>
      </c>
      <c r="AK14" s="8" t="str">
        <f ca="1">IFERROR(__xludf.DUMMYFUNCTION("""COMPUTED_VALUE"""),"")</f>
        <v/>
      </c>
      <c r="AL14" s="8" t="str">
        <f ca="1">IFERROR(__xludf.DUMMYFUNCTION("""COMPUTED_VALUE"""),"")</f>
        <v/>
      </c>
      <c r="AM14" s="10" t="str">
        <f ca="1">IFERROR(__xludf.DUMMYFUNCTION("""COMPUTED_VALUE"""),"")</f>
        <v/>
      </c>
    </row>
    <row r="15" spans="1:39" x14ac:dyDescent="0.2">
      <c r="A15" s="2">
        <f ca="1">IF($G15="","",IF(ISERROR(MATCH($N15,Lge_Scratch!$B:$B,0)),1,0))</f>
        <v>0</v>
      </c>
      <c r="B15" s="2">
        <f ca="1">IF($G15="","",IF(AND(LEFT($Q15,8)="Non-aero",ISERROR(MATCH($N15,Lge_NonAero!$B:$B,0))),1,0))</f>
        <v>0</v>
      </c>
      <c r="C15" s="5">
        <f ca="1">IF($G15="","",IF(AND(LEFT($O15,3)="Wom",ISERROR(MATCH($N15,Lge_Women!$B:$B,0))),1,0))</f>
        <v>0</v>
      </c>
      <c r="D15" s="2">
        <f ca="1">IF($G15="","",IF(AND(OR($O15="Vet",$O15="Woman Vet"),ISERROR(MATCH($N15,Lge_Vets!$B:$B,0))),1,0))</f>
        <v>0</v>
      </c>
      <c r="E15" s="2">
        <f ca="1">IF($G15="","",IF(AND(OR($O15="Junior",$O15="Woman Junior",$O15="Youth",$O15="Woman Youth"),ISERROR(MATCH($N15,Lge_Junior!$B:$B,0))),1,0))</f>
        <v>0</v>
      </c>
      <c r="F15" s="2">
        <f ca="1">IF($G15="","",IF(AND(LEFT($O15,3)="You",ISERROR(MATCH($N15,Lge_Youth!$B:$B,0))),1,0))</f>
        <v>0</v>
      </c>
      <c r="G15" s="3" t="str">
        <f ca="1">IFERROR(__xludf.DUMMYFUNCTION("""COMPUTED_VALUE"""),"45822_Saturday League_7")</f>
        <v>45822_Saturday League_7</v>
      </c>
      <c r="H15" s="3" t="str">
        <f ca="1">IFERROR(__xludf.DUMMYFUNCTION("""COMPUTED_VALUE"""),"45822_Saturday League_7_5")</f>
        <v>45822_Saturday League_7_5</v>
      </c>
      <c r="I15" s="3">
        <f ca="1">IFERROR(__xludf.DUMMYFUNCTION("""COMPUTED_VALUE"""),9)</f>
        <v>9</v>
      </c>
      <c r="J15" s="3" t="str">
        <f ca="1">IFERROR(__xludf.DUMMYFUNCTION("""COMPUTED_VALUE"""),"Saturday League")</f>
        <v>Saturday League</v>
      </c>
      <c r="K15" s="6">
        <f ca="1">IFERROR(__xludf.DUMMYFUNCTION("""COMPUTED_VALUE"""),45822)</f>
        <v>45822</v>
      </c>
      <c r="L15" s="4">
        <f ca="1">IFERROR(__xludf.DUMMYFUNCTION("""COMPUTED_VALUE"""),7)</f>
        <v>7</v>
      </c>
      <c r="M15" s="4">
        <f ca="1">IFERROR(__xludf.DUMMYFUNCTION("""COMPUTED_VALUE"""),5)</f>
        <v>5</v>
      </c>
      <c r="N15" s="8" t="str">
        <f ca="1">IFERROR(__xludf.DUMMYFUNCTION("""COMPUTED_VALUE"""),"Andy Merchant")</f>
        <v>Andy Merchant</v>
      </c>
      <c r="O15" s="8" t="str">
        <f ca="1">IFERROR(__xludf.DUMMYFUNCTION("""COMPUTED_VALUE"""),"Vet")</f>
        <v>Vet</v>
      </c>
      <c r="P15" s="9">
        <f ca="1">IFERROR(__xludf.DUMMYFUNCTION("""COMPUTED_VALUE"""),0.0137268518518518)</f>
        <v>1.3726851851851799E-2</v>
      </c>
      <c r="Q15" s="8" t="str">
        <f ca="1">IFERROR(__xludf.DUMMYFUNCTION("""COMPUTED_VALUE"""),"")</f>
        <v/>
      </c>
      <c r="R15" s="8">
        <f ca="1">IFERROR(__xludf.DUMMYFUNCTION("""COMPUTED_VALUE"""),56)</f>
        <v>56</v>
      </c>
      <c r="S15" s="9"/>
      <c r="T15" s="8"/>
      <c r="U15" s="8">
        <f ca="1">IFERROR(__xludf.DUMMYFUNCTION("""COMPUTED_VALUE"""),60)</f>
        <v>60</v>
      </c>
      <c r="V15" s="9">
        <f ca="1">IFERROR(__xludf.DUMMYFUNCTION("""COMPUTED_VALUE"""),0.0128842592592592)</f>
        <v>1.28842592592592E-2</v>
      </c>
      <c r="W15" s="8">
        <f ca="1">IFERROR(__xludf.DUMMYFUNCTION("""COMPUTED_VALUE"""),3)</f>
        <v>3</v>
      </c>
      <c r="X15" s="8">
        <f ca="1">IFERROR(__xludf.DUMMYFUNCTION("""COMPUTED_VALUE"""),58)</f>
        <v>58</v>
      </c>
      <c r="Y15" s="8">
        <f ca="1">IFERROR(__xludf.DUMMYFUNCTION("""COMPUTED_VALUE"""),0)</f>
        <v>0</v>
      </c>
      <c r="Z15" s="8">
        <f ca="1">IFERROR(__xludf.DUMMYFUNCTION("""COMPUTED_VALUE"""),0)</f>
        <v>0</v>
      </c>
      <c r="AA15" s="8">
        <f ca="1">IFERROR(__xludf.DUMMYFUNCTION("""COMPUTED_VALUE"""),0)</f>
        <v>0</v>
      </c>
      <c r="AB15" s="8">
        <f ca="1">IFERROR(__xludf.DUMMYFUNCTION("""COMPUTED_VALUE"""),0)</f>
        <v>0</v>
      </c>
      <c r="AC15" s="8">
        <f ca="1">IFERROR(__xludf.DUMMYFUNCTION("""COMPUTED_VALUE"""),0)</f>
        <v>0</v>
      </c>
      <c r="AD15" s="8">
        <f ca="1">IFERROR(__xludf.DUMMYFUNCTION("""COMPUTED_VALUE"""),0)</f>
        <v>0</v>
      </c>
      <c r="AE15" s="8">
        <f ca="1">IFERROR(__xludf.DUMMYFUNCTION("""COMPUTED_VALUE"""),0)</f>
        <v>0</v>
      </c>
      <c r="AF15" s="8" t="str">
        <f ca="1">IFERROR(__xludf.DUMMYFUNCTION("""COMPUTED_VALUE"""),"")</f>
        <v/>
      </c>
      <c r="AG15" s="8" t="str">
        <f ca="1">IFERROR(__xludf.DUMMYFUNCTION("""COMPUTED_VALUE"""),"")</f>
        <v/>
      </c>
      <c r="AH15" s="8">
        <f ca="1">IFERROR(__xludf.DUMMYFUNCTION("""COMPUTED_VALUE"""),0)</f>
        <v>0</v>
      </c>
      <c r="AI15" s="8" t="str">
        <f ca="1">IFERROR(__xludf.DUMMYFUNCTION("""COMPUTED_VALUE"""),"")</f>
        <v/>
      </c>
      <c r="AJ15" s="8" t="str">
        <f ca="1">IFERROR(__xludf.DUMMYFUNCTION("""COMPUTED_VALUE"""),"")</f>
        <v/>
      </c>
      <c r="AK15" s="8" t="str">
        <f ca="1">IFERROR(__xludf.DUMMYFUNCTION("""COMPUTED_VALUE"""),"")</f>
        <v/>
      </c>
      <c r="AL15" s="8" t="str">
        <f ca="1">IFERROR(__xludf.DUMMYFUNCTION("""COMPUTED_VALUE"""),"")</f>
        <v/>
      </c>
      <c r="AM15" s="10" t="str">
        <f ca="1">IFERROR(__xludf.DUMMYFUNCTION("""COMPUTED_VALUE"""),"")</f>
        <v/>
      </c>
    </row>
    <row r="16" spans="1:39" x14ac:dyDescent="0.2">
      <c r="A16" s="2">
        <f ca="1">IF($G16="","",IF(ISERROR(MATCH($N16,Lge_Scratch!$B:$B,0)),1,0))</f>
        <v>0</v>
      </c>
      <c r="B16" s="2">
        <f ca="1">IF($G16="","",IF(AND(LEFT($Q16,8)="Non-aero",ISERROR(MATCH($N16,Lge_NonAero!$B:$B,0))),1,0))</f>
        <v>0</v>
      </c>
      <c r="C16" s="5">
        <f ca="1">IF($G16="","",IF(AND(LEFT($O16,3)="Wom",ISERROR(MATCH($N16,Lge_Women!$B:$B,0))),1,0))</f>
        <v>0</v>
      </c>
      <c r="D16" s="2">
        <f ca="1">IF($G16="","",IF(AND(OR($O16="Vet",$O16="Woman Vet"),ISERROR(MATCH($N16,Lge_Vets!$B:$B,0))),1,0))</f>
        <v>0</v>
      </c>
      <c r="E16" s="2">
        <f ca="1">IF($G16="","",IF(AND(OR($O16="Junior",$O16="Woman Junior",$O16="Youth",$O16="Woman Youth"),ISERROR(MATCH($N16,Lge_Junior!$B:$B,0))),1,0))</f>
        <v>0</v>
      </c>
      <c r="F16" s="2">
        <f ca="1">IF($G16="","",IF(AND(LEFT($O16,3)="You",ISERROR(MATCH($N16,Lge_Youth!$B:$B,0))),1,0))</f>
        <v>0</v>
      </c>
      <c r="G16" s="3" t="str">
        <f ca="1">IFERROR(__xludf.DUMMYFUNCTION("""COMPUTED_VALUE"""),"45822_Saturday League_7")</f>
        <v>45822_Saturday League_7</v>
      </c>
      <c r="H16" s="3" t="str">
        <f ca="1">IFERROR(__xludf.DUMMYFUNCTION("""COMPUTED_VALUE"""),"45822_Saturday League_7_6")</f>
        <v>45822_Saturday League_7_6</v>
      </c>
      <c r="I16" s="3">
        <f ca="1">IFERROR(__xludf.DUMMYFUNCTION("""COMPUTED_VALUE"""),9)</f>
        <v>9</v>
      </c>
      <c r="J16" s="3" t="str">
        <f ca="1">IFERROR(__xludf.DUMMYFUNCTION("""COMPUTED_VALUE"""),"Saturday League")</f>
        <v>Saturday League</v>
      </c>
      <c r="K16" s="6">
        <f ca="1">IFERROR(__xludf.DUMMYFUNCTION("""COMPUTED_VALUE"""),45822)</f>
        <v>45822</v>
      </c>
      <c r="L16" s="4">
        <f ca="1">IFERROR(__xludf.DUMMYFUNCTION("""COMPUTED_VALUE"""),7)</f>
        <v>7</v>
      </c>
      <c r="M16" s="4">
        <f ca="1">IFERROR(__xludf.DUMMYFUNCTION("""COMPUTED_VALUE"""),6)</f>
        <v>6</v>
      </c>
      <c r="N16" s="8" t="str">
        <f ca="1">IFERROR(__xludf.DUMMYFUNCTION("""COMPUTED_VALUE"""),"Adam Jones")</f>
        <v>Adam Jones</v>
      </c>
      <c r="O16" s="8" t="str">
        <f ca="1">IFERROR(__xludf.DUMMYFUNCTION("""COMPUTED_VALUE"""),"Vet")</f>
        <v>Vet</v>
      </c>
      <c r="P16" s="9">
        <f ca="1">IFERROR(__xludf.DUMMYFUNCTION("""COMPUTED_VALUE"""),0.0139351851851851)</f>
        <v>1.3935185185185099E-2</v>
      </c>
      <c r="Q16" s="8" t="str">
        <f ca="1">IFERROR(__xludf.DUMMYFUNCTION("""COMPUTED_VALUE"""),"Non-aero")</f>
        <v>Non-aero</v>
      </c>
      <c r="R16" s="8">
        <f ca="1">IFERROR(__xludf.DUMMYFUNCTION("""COMPUTED_VALUE"""),55)</f>
        <v>55</v>
      </c>
      <c r="S16" s="9"/>
      <c r="T16" s="8"/>
      <c r="U16" s="8">
        <f ca="1">IFERROR(__xludf.DUMMYFUNCTION("""COMPUTED_VALUE"""),60)</f>
        <v>60</v>
      </c>
      <c r="V16" s="9">
        <f ca="1">IFERROR(__xludf.DUMMYFUNCTION("""COMPUTED_VALUE"""),0.0134004629629629)</f>
        <v>1.3400462962962901E-2</v>
      </c>
      <c r="W16" s="8">
        <f ca="1">IFERROR(__xludf.DUMMYFUNCTION("""COMPUTED_VALUE"""),6)</f>
        <v>6</v>
      </c>
      <c r="X16" s="8">
        <f ca="1">IFERROR(__xludf.DUMMYFUNCTION("""COMPUTED_VALUE"""),55)</f>
        <v>55</v>
      </c>
      <c r="Y16" s="8">
        <f ca="1">IFERROR(__xludf.DUMMYFUNCTION("""COMPUTED_VALUE"""),0)</f>
        <v>0</v>
      </c>
      <c r="Z16" s="8">
        <f ca="1">IFERROR(__xludf.DUMMYFUNCTION("""COMPUTED_VALUE"""),0)</f>
        <v>0</v>
      </c>
      <c r="AA16" s="8">
        <f ca="1">IFERROR(__xludf.DUMMYFUNCTION("""COMPUTED_VALUE"""),0)</f>
        <v>0</v>
      </c>
      <c r="AB16" s="8">
        <f ca="1">IFERROR(__xludf.DUMMYFUNCTION("""COMPUTED_VALUE"""),0)</f>
        <v>0</v>
      </c>
      <c r="AC16" s="8">
        <f ca="1">IFERROR(__xludf.DUMMYFUNCTION("""COMPUTED_VALUE"""),0)</f>
        <v>0</v>
      </c>
      <c r="AD16" s="8">
        <f ca="1">IFERROR(__xludf.DUMMYFUNCTION("""COMPUTED_VALUE"""),0)</f>
        <v>0</v>
      </c>
      <c r="AE16" s="8">
        <f ca="1">IFERROR(__xludf.DUMMYFUNCTION("""COMPUTED_VALUE"""),57)</f>
        <v>57</v>
      </c>
      <c r="AF16" s="8">
        <f ca="1">IFERROR(__xludf.DUMMYFUNCTION("""COMPUTED_VALUE"""),4)</f>
        <v>4</v>
      </c>
      <c r="AG16" s="8" t="str">
        <f ca="1">IFERROR(__xludf.DUMMYFUNCTION("""COMPUTED_VALUE"""),"")</f>
        <v/>
      </c>
      <c r="AH16" s="8">
        <f ca="1">IFERROR(__xludf.DUMMYFUNCTION("""COMPUTED_VALUE"""),0)</f>
        <v>0</v>
      </c>
      <c r="AI16" s="8" t="str">
        <f ca="1">IFERROR(__xludf.DUMMYFUNCTION("""COMPUTED_VALUE"""),"")</f>
        <v/>
      </c>
      <c r="AJ16" s="8" t="str">
        <f ca="1">IFERROR(__xludf.DUMMYFUNCTION("""COMPUTED_VALUE"""),"")</f>
        <v/>
      </c>
      <c r="AK16" s="8" t="str">
        <f ca="1">IFERROR(__xludf.DUMMYFUNCTION("""COMPUTED_VALUE"""),"")</f>
        <v/>
      </c>
      <c r="AL16" s="8" t="str">
        <f ca="1">IFERROR(__xludf.DUMMYFUNCTION("""COMPUTED_VALUE"""),"")</f>
        <v/>
      </c>
      <c r="AM16" s="10" t="str">
        <f ca="1">IFERROR(__xludf.DUMMYFUNCTION("""COMPUTED_VALUE"""),"")</f>
        <v/>
      </c>
    </row>
    <row r="17" spans="1:39" x14ac:dyDescent="0.2">
      <c r="A17" s="2">
        <f ca="1">IF($G17="","",IF(ISERROR(MATCH($N17,Lge_Scratch!$B:$B,0)),1,0))</f>
        <v>0</v>
      </c>
      <c r="B17" s="2">
        <f ca="1">IF($G17="","",IF(AND(LEFT($Q17,8)="Non-aero",ISERROR(MATCH($N17,Lge_NonAero!$B:$B,0))),1,0))</f>
        <v>0</v>
      </c>
      <c r="C17" s="5">
        <f ca="1">IF($G17="","",IF(AND(LEFT($O17,3)="Wom",ISERROR(MATCH($N17,Lge_Women!$B:$B,0))),1,0))</f>
        <v>0</v>
      </c>
      <c r="D17" s="2">
        <f ca="1">IF($G17="","",IF(AND(OR($O17="Vet",$O17="Woman Vet"),ISERROR(MATCH($N17,Lge_Vets!$B:$B,0))),1,0))</f>
        <v>0</v>
      </c>
      <c r="E17" s="2">
        <f ca="1">IF($G17="","",IF(AND(OR($O17="Junior",$O17="Woman Junior",$O17="Youth",$O17="Woman Youth"),ISERROR(MATCH($N17,Lge_Junior!$B:$B,0))),1,0))</f>
        <v>0</v>
      </c>
      <c r="F17" s="2">
        <f ca="1">IF($G17="","",IF(AND(LEFT($O17,3)="You",ISERROR(MATCH($N17,Lge_Youth!$B:$B,0))),1,0))</f>
        <v>0</v>
      </c>
      <c r="G17" s="3" t="str">
        <f ca="1">IFERROR(__xludf.DUMMYFUNCTION("""COMPUTED_VALUE"""),"45822_Saturday League_7")</f>
        <v>45822_Saturday League_7</v>
      </c>
      <c r="H17" s="3" t="str">
        <f ca="1">IFERROR(__xludf.DUMMYFUNCTION("""COMPUTED_VALUE"""),"45822_Saturday League_7_7")</f>
        <v>45822_Saturday League_7_7</v>
      </c>
      <c r="I17" s="3">
        <f ca="1">IFERROR(__xludf.DUMMYFUNCTION("""COMPUTED_VALUE"""),9)</f>
        <v>9</v>
      </c>
      <c r="J17" s="3" t="str">
        <f ca="1">IFERROR(__xludf.DUMMYFUNCTION("""COMPUTED_VALUE"""),"Saturday League")</f>
        <v>Saturday League</v>
      </c>
      <c r="K17" s="6">
        <f ca="1">IFERROR(__xludf.DUMMYFUNCTION("""COMPUTED_VALUE"""),45822)</f>
        <v>45822</v>
      </c>
      <c r="L17" s="4">
        <f ca="1">IFERROR(__xludf.DUMMYFUNCTION("""COMPUTED_VALUE"""),7)</f>
        <v>7</v>
      </c>
      <c r="M17" s="4">
        <f ca="1">IFERROR(__xludf.DUMMYFUNCTION("""COMPUTED_VALUE"""),7)</f>
        <v>7</v>
      </c>
      <c r="N17" s="8" t="str">
        <f ca="1">IFERROR(__xludf.DUMMYFUNCTION("""COMPUTED_VALUE"""),"Paul Gribbon")</f>
        <v>Paul Gribbon</v>
      </c>
      <c r="O17" s="8" t="str">
        <f ca="1">IFERROR(__xludf.DUMMYFUNCTION("""COMPUTED_VALUE"""),"Vet")</f>
        <v>Vet</v>
      </c>
      <c r="P17" s="9">
        <f ca="1">IFERROR(__xludf.DUMMYFUNCTION("""COMPUTED_VALUE"""),0.0151851851851851)</f>
        <v>1.51851851851851E-2</v>
      </c>
      <c r="Q17" s="8" t="str">
        <f ca="1">IFERROR(__xludf.DUMMYFUNCTION("""COMPUTED_VALUE"""),"Non-aero")</f>
        <v>Non-aero</v>
      </c>
      <c r="R17" s="8">
        <f ca="1">IFERROR(__xludf.DUMMYFUNCTION("""COMPUTED_VALUE"""),54)</f>
        <v>54</v>
      </c>
      <c r="S17" s="9"/>
      <c r="T17" s="8"/>
      <c r="U17" s="8">
        <f ca="1">IFERROR(__xludf.DUMMYFUNCTION("""COMPUTED_VALUE"""),60)</f>
        <v>60</v>
      </c>
      <c r="V17" s="9">
        <f ca="1">IFERROR(__xludf.DUMMYFUNCTION("""COMPUTED_VALUE"""),0.0147071759259259)</f>
        <v>1.47071759259259E-2</v>
      </c>
      <c r="W17" s="8">
        <f ca="1">IFERROR(__xludf.DUMMYFUNCTION("""COMPUTED_VALUE"""),7)</f>
        <v>7</v>
      </c>
      <c r="X17" s="8">
        <f ca="1">IFERROR(__xludf.DUMMYFUNCTION("""COMPUTED_VALUE"""),54)</f>
        <v>54</v>
      </c>
      <c r="Y17" s="8">
        <f ca="1">IFERROR(__xludf.DUMMYFUNCTION("""COMPUTED_VALUE"""),0)</f>
        <v>0</v>
      </c>
      <c r="Z17" s="8">
        <f ca="1">IFERROR(__xludf.DUMMYFUNCTION("""COMPUTED_VALUE"""),0)</f>
        <v>0</v>
      </c>
      <c r="AA17" s="8">
        <f ca="1">IFERROR(__xludf.DUMMYFUNCTION("""COMPUTED_VALUE"""),0)</f>
        <v>0</v>
      </c>
      <c r="AB17" s="8">
        <f ca="1">IFERROR(__xludf.DUMMYFUNCTION("""COMPUTED_VALUE"""),0)</f>
        <v>0</v>
      </c>
      <c r="AC17" s="8">
        <f ca="1">IFERROR(__xludf.DUMMYFUNCTION("""COMPUTED_VALUE"""),0)</f>
        <v>0</v>
      </c>
      <c r="AD17" s="8">
        <f ca="1">IFERROR(__xludf.DUMMYFUNCTION("""COMPUTED_VALUE"""),0)</f>
        <v>0</v>
      </c>
      <c r="AE17" s="8">
        <f ca="1">IFERROR(__xludf.DUMMYFUNCTION("""COMPUTED_VALUE"""),56)</f>
        <v>56</v>
      </c>
      <c r="AF17" s="8">
        <f ca="1">IFERROR(__xludf.DUMMYFUNCTION("""COMPUTED_VALUE"""),5)</f>
        <v>5</v>
      </c>
      <c r="AG17" s="8" t="str">
        <f ca="1">IFERROR(__xludf.DUMMYFUNCTION("""COMPUTED_VALUE"""),"")</f>
        <v/>
      </c>
      <c r="AH17" s="8">
        <f ca="1">IFERROR(__xludf.DUMMYFUNCTION("""COMPUTED_VALUE"""),0)</f>
        <v>0</v>
      </c>
      <c r="AI17" s="8" t="str">
        <f ca="1">IFERROR(__xludf.DUMMYFUNCTION("""COMPUTED_VALUE"""),"")</f>
        <v/>
      </c>
      <c r="AJ17" s="8" t="str">
        <f ca="1">IFERROR(__xludf.DUMMYFUNCTION("""COMPUTED_VALUE"""),"")</f>
        <v/>
      </c>
      <c r="AK17" s="8" t="str">
        <f ca="1">IFERROR(__xludf.DUMMYFUNCTION("""COMPUTED_VALUE"""),"")</f>
        <v/>
      </c>
      <c r="AL17" s="8" t="str">
        <f ca="1">IFERROR(__xludf.DUMMYFUNCTION("""COMPUTED_VALUE"""),"")</f>
        <v/>
      </c>
      <c r="AM17" s="10" t="str">
        <f ca="1">IFERROR(__xludf.DUMMYFUNCTION("""COMPUTED_VALUE"""),"")</f>
        <v/>
      </c>
    </row>
    <row r="18" spans="1:39" x14ac:dyDescent="0.2">
      <c r="A18" s="2">
        <f ca="1">IF($G18="","",IF(ISERROR(MATCH($N18,Lge_Scratch!$B:$B,0)),1,0))</f>
        <v>0</v>
      </c>
      <c r="B18" s="2">
        <f ca="1">IF($G18="","",IF(AND(LEFT($Q18,8)="Non-aero",ISERROR(MATCH($N18,Lge_NonAero!$B:$B,0))),1,0))</f>
        <v>0</v>
      </c>
      <c r="C18" s="5">
        <f ca="1">IF($G18="","",IF(AND(LEFT($O18,3)="Wom",ISERROR(MATCH($N18,Lge_Women!$B:$B,0))),1,0))</f>
        <v>0</v>
      </c>
      <c r="D18" s="2">
        <f ca="1">IF($G18="","",IF(AND(OR($O18="Vet",$O18="Woman Vet"),ISERROR(MATCH($N18,Lge_Vets!$B:$B,0))),1,0))</f>
        <v>0</v>
      </c>
      <c r="E18" s="2">
        <f ca="1">IF($G18="","",IF(AND(OR($O18="Junior",$O18="Woman Junior",$O18="Youth",$O18="Woman Youth"),ISERROR(MATCH($N18,Lge_Junior!$B:$B,0))),1,0))</f>
        <v>0</v>
      </c>
      <c r="F18" s="2">
        <f ca="1">IF($G18="","",IF(AND(LEFT($O18,3)="You",ISERROR(MATCH($N18,Lge_Youth!$B:$B,0))),1,0))</f>
        <v>0</v>
      </c>
      <c r="G18" s="3" t="str">
        <f ca="1">IFERROR(__xludf.DUMMYFUNCTION("""COMPUTED_VALUE"""),"45822_Saturday League_7")</f>
        <v>45822_Saturday League_7</v>
      </c>
      <c r="H18" s="3" t="str">
        <f ca="1">IFERROR(__xludf.DUMMYFUNCTION("""COMPUTED_VALUE"""),"45822_Saturday League_7_8")</f>
        <v>45822_Saturday League_7_8</v>
      </c>
      <c r="I18" s="3">
        <f ca="1">IFERROR(__xludf.DUMMYFUNCTION("""COMPUTED_VALUE"""),9)</f>
        <v>9</v>
      </c>
      <c r="J18" s="3" t="str">
        <f ca="1">IFERROR(__xludf.DUMMYFUNCTION("""COMPUTED_VALUE"""),"Saturday League")</f>
        <v>Saturday League</v>
      </c>
      <c r="K18" s="6">
        <f ca="1">IFERROR(__xludf.DUMMYFUNCTION("""COMPUTED_VALUE"""),45822)</f>
        <v>45822</v>
      </c>
      <c r="L18" s="4">
        <f ca="1">IFERROR(__xludf.DUMMYFUNCTION("""COMPUTED_VALUE"""),7)</f>
        <v>7</v>
      </c>
      <c r="M18" s="4">
        <f ca="1">IFERROR(__xludf.DUMMYFUNCTION("""COMPUTED_VALUE"""),8)</f>
        <v>8</v>
      </c>
      <c r="N18" s="8" t="str">
        <f ca="1">IFERROR(__xludf.DUMMYFUNCTION("""COMPUTED_VALUE"""),"Simon Gretton")</f>
        <v>Simon Gretton</v>
      </c>
      <c r="O18" s="8" t="str">
        <f ca="1">IFERROR(__xludf.DUMMYFUNCTION("""COMPUTED_VALUE"""),"Vet")</f>
        <v>Vet</v>
      </c>
      <c r="P18" s="9">
        <f ca="1">IFERROR(__xludf.DUMMYFUNCTION("""COMPUTED_VALUE"""),0.0152083333333333)</f>
        <v>1.5208333333333299E-2</v>
      </c>
      <c r="Q18" s="8" t="str">
        <f ca="1">IFERROR(__xludf.DUMMYFUNCTION("""COMPUTED_VALUE"""),"Non-aero PB Age Record")</f>
        <v>Non-aero PB Age Record</v>
      </c>
      <c r="R18" s="8">
        <f ca="1">IFERROR(__xludf.DUMMYFUNCTION("""COMPUTED_VALUE"""),53)</f>
        <v>53</v>
      </c>
      <c r="S18" s="9"/>
      <c r="T18" s="8"/>
      <c r="U18" s="8">
        <f ca="1">IFERROR(__xludf.DUMMYFUNCTION("""COMPUTED_VALUE"""),60)</f>
        <v>60</v>
      </c>
      <c r="V18" s="9">
        <f ca="1">IFERROR(__xludf.DUMMYFUNCTION("""COMPUTED_VALUE"""),0.0127372685185185)</f>
        <v>1.27372685185185E-2</v>
      </c>
      <c r="W18" s="8">
        <f ca="1">IFERROR(__xludf.DUMMYFUNCTION("""COMPUTED_VALUE"""),2)</f>
        <v>2</v>
      </c>
      <c r="X18" s="8">
        <f ca="1">IFERROR(__xludf.DUMMYFUNCTION("""COMPUTED_VALUE"""),59)</f>
        <v>59</v>
      </c>
      <c r="Y18" s="8">
        <f ca="1">IFERROR(__xludf.DUMMYFUNCTION("""COMPUTED_VALUE"""),0)</f>
        <v>0</v>
      </c>
      <c r="Z18" s="8">
        <f ca="1">IFERROR(__xludf.DUMMYFUNCTION("""COMPUTED_VALUE"""),0)</f>
        <v>0</v>
      </c>
      <c r="AA18" s="8">
        <f ca="1">IFERROR(__xludf.DUMMYFUNCTION("""COMPUTED_VALUE"""),0)</f>
        <v>0</v>
      </c>
      <c r="AB18" s="8">
        <f ca="1">IFERROR(__xludf.DUMMYFUNCTION("""COMPUTED_VALUE"""),0)</f>
        <v>0</v>
      </c>
      <c r="AC18" s="8">
        <f ca="1">IFERROR(__xludf.DUMMYFUNCTION("""COMPUTED_VALUE"""),0)</f>
        <v>0</v>
      </c>
      <c r="AD18" s="8">
        <f ca="1">IFERROR(__xludf.DUMMYFUNCTION("""COMPUTED_VALUE"""),0)</f>
        <v>0</v>
      </c>
      <c r="AE18" s="8">
        <f ca="1">IFERROR(__xludf.DUMMYFUNCTION("""COMPUTED_VALUE"""),55)</f>
        <v>55</v>
      </c>
      <c r="AF18" s="8">
        <f ca="1">IFERROR(__xludf.DUMMYFUNCTION("""COMPUTED_VALUE"""),6)</f>
        <v>6</v>
      </c>
      <c r="AG18" s="8" t="str">
        <f ca="1">IFERROR(__xludf.DUMMYFUNCTION("""COMPUTED_VALUE"""),"")</f>
        <v/>
      </c>
      <c r="AH18" s="8">
        <f ca="1">IFERROR(__xludf.DUMMYFUNCTION("""COMPUTED_VALUE"""),0)</f>
        <v>0</v>
      </c>
      <c r="AI18" s="8" t="str">
        <f ca="1">IFERROR(__xludf.DUMMYFUNCTION("""COMPUTED_VALUE"""),"")</f>
        <v/>
      </c>
      <c r="AJ18" s="8" t="str">
        <f ca="1">IFERROR(__xludf.DUMMYFUNCTION("""COMPUTED_VALUE"""),"PB")</f>
        <v>PB</v>
      </c>
      <c r="AK18" s="8" t="str">
        <f ca="1">IFERROR(__xludf.DUMMYFUNCTION("""COMPUTED_VALUE"""),"")</f>
        <v/>
      </c>
      <c r="AL18" s="8" t="str">
        <f ca="1">IFERROR(__xludf.DUMMYFUNCTION("""COMPUTED_VALUE"""),"Age Record")</f>
        <v>Age Record</v>
      </c>
      <c r="AM18" s="10" t="str">
        <f ca="1">IFERROR(__xludf.DUMMYFUNCTION("""COMPUTED_VALUE"""),"")</f>
        <v/>
      </c>
    </row>
    <row r="19" spans="1:39" x14ac:dyDescent="0.2">
      <c r="A19" s="2">
        <f ca="1">IF($G19="","",IF(ISERROR(MATCH($N19,Lge_Scratch!$B:$B,0)),1,0))</f>
        <v>0</v>
      </c>
      <c r="B19" s="2">
        <f ca="1">IF($G19="","",IF(AND(LEFT($Q19,8)="Non-aero",ISERROR(MATCH($N19,Lge_NonAero!$B:$B,0))),1,0))</f>
        <v>0</v>
      </c>
      <c r="C19" s="5">
        <f ca="1">IF($G19="","",IF(AND(LEFT($O19,3)="Wom",ISERROR(MATCH($N19,Lge_Women!$B:$B,0))),1,0))</f>
        <v>0</v>
      </c>
      <c r="D19" s="2">
        <f ca="1">IF($G19="","",IF(AND(OR($O19="Vet",$O19="Woman Vet"),ISERROR(MATCH($N19,Lge_Vets!$B:$B,0))),1,0))</f>
        <v>0</v>
      </c>
      <c r="E19" s="2">
        <f ca="1">IF($G19="","",IF(AND(OR($O19="Junior",$O19="Woman Junior",$O19="Youth",$O19="Woman Youth"),ISERROR(MATCH($N19,Lge_Junior!$B:$B,0))),1,0))</f>
        <v>0</v>
      </c>
      <c r="F19" s="2">
        <f ca="1">IF($G19="","",IF(AND(LEFT($O19,3)="You",ISERROR(MATCH($N19,Lge_Youth!$B:$B,0))),1,0))</f>
        <v>0</v>
      </c>
      <c r="G19" s="3" t="str">
        <f ca="1">IFERROR(__xludf.DUMMYFUNCTION("""COMPUTED_VALUE"""),"45822_Saturday League_7")</f>
        <v>45822_Saturday League_7</v>
      </c>
      <c r="H19" s="3" t="str">
        <f ca="1">IFERROR(__xludf.DUMMYFUNCTION("""COMPUTED_VALUE"""),"45822_Saturday League_7_9")</f>
        <v>45822_Saturday League_7_9</v>
      </c>
      <c r="I19" s="3">
        <f ca="1">IFERROR(__xludf.DUMMYFUNCTION("""COMPUTED_VALUE"""),9)</f>
        <v>9</v>
      </c>
      <c r="J19" s="3" t="str">
        <f ca="1">IFERROR(__xludf.DUMMYFUNCTION("""COMPUTED_VALUE"""),"Saturday League")</f>
        <v>Saturday League</v>
      </c>
      <c r="K19" s="6">
        <f ca="1">IFERROR(__xludf.DUMMYFUNCTION("""COMPUTED_VALUE"""),45822)</f>
        <v>45822</v>
      </c>
      <c r="L19" s="4">
        <f ca="1">IFERROR(__xludf.DUMMYFUNCTION("""COMPUTED_VALUE"""),7)</f>
        <v>7</v>
      </c>
      <c r="M19" s="4">
        <f ca="1">IFERROR(__xludf.DUMMYFUNCTION("""COMPUTED_VALUE"""),9)</f>
        <v>9</v>
      </c>
      <c r="N19" s="8" t="str">
        <f ca="1">IFERROR(__xludf.DUMMYFUNCTION("""COMPUTED_VALUE"""),"Elaine Cotton")</f>
        <v>Elaine Cotton</v>
      </c>
      <c r="O19" s="8" t="str">
        <f ca="1">IFERROR(__xludf.DUMMYFUNCTION("""COMPUTED_VALUE"""),"Woman Vet")</f>
        <v>Woman Vet</v>
      </c>
      <c r="P19" s="9">
        <f ca="1">IFERROR(__xludf.DUMMYFUNCTION("""COMPUTED_VALUE"""),0.0174421296296296)</f>
        <v>1.7442129629629599E-2</v>
      </c>
      <c r="Q19" s="8" t="str">
        <f ca="1">IFERROR(__xludf.DUMMYFUNCTION("""COMPUTED_VALUE"""),"Non-aero")</f>
        <v>Non-aero</v>
      </c>
      <c r="R19" s="8">
        <f ca="1">IFERROR(__xludf.DUMMYFUNCTION("""COMPUTED_VALUE"""),52)</f>
        <v>52</v>
      </c>
      <c r="S19" s="9"/>
      <c r="T19" s="8"/>
      <c r="U19" s="8">
        <f ca="1">IFERROR(__xludf.DUMMYFUNCTION("""COMPUTED_VALUE"""),60)</f>
        <v>60</v>
      </c>
      <c r="V19" s="9">
        <f ca="1">IFERROR(__xludf.DUMMYFUNCTION("""COMPUTED_VALUE"""),0.0154652777777777)</f>
        <v>1.5465277777777699E-2</v>
      </c>
      <c r="W19" s="8">
        <f ca="1">IFERROR(__xludf.DUMMYFUNCTION("""COMPUTED_VALUE"""),8)</f>
        <v>8</v>
      </c>
      <c r="X19" s="8">
        <f ca="1">IFERROR(__xludf.DUMMYFUNCTION("""COMPUTED_VALUE"""),53)</f>
        <v>53</v>
      </c>
      <c r="Y19" s="8">
        <f ca="1">IFERROR(__xludf.DUMMYFUNCTION("""COMPUTED_VALUE"""),1)</f>
        <v>1</v>
      </c>
      <c r="Z19" s="8">
        <f ca="1">IFERROR(__xludf.DUMMYFUNCTION("""COMPUTED_VALUE"""),60)</f>
        <v>60</v>
      </c>
      <c r="AA19" s="8">
        <f ca="1">IFERROR(__xludf.DUMMYFUNCTION("""COMPUTED_VALUE"""),0)</f>
        <v>0</v>
      </c>
      <c r="AB19" s="8">
        <f ca="1">IFERROR(__xludf.DUMMYFUNCTION("""COMPUTED_VALUE"""),0)</f>
        <v>0</v>
      </c>
      <c r="AC19" s="8">
        <f ca="1">IFERROR(__xludf.DUMMYFUNCTION("""COMPUTED_VALUE"""),0)</f>
        <v>0</v>
      </c>
      <c r="AD19" s="8">
        <f ca="1">IFERROR(__xludf.DUMMYFUNCTION("""COMPUTED_VALUE"""),0)</f>
        <v>0</v>
      </c>
      <c r="AE19" s="8">
        <f ca="1">IFERROR(__xludf.DUMMYFUNCTION("""COMPUTED_VALUE"""),54)</f>
        <v>54</v>
      </c>
      <c r="AF19" s="8">
        <f ca="1">IFERROR(__xludf.DUMMYFUNCTION("""COMPUTED_VALUE"""),7)</f>
        <v>7</v>
      </c>
      <c r="AG19" s="8" t="str">
        <f ca="1">IFERROR(__xludf.DUMMYFUNCTION("""COMPUTED_VALUE"""),"")</f>
        <v/>
      </c>
      <c r="AH19" s="8">
        <f ca="1">IFERROR(__xludf.DUMMYFUNCTION("""COMPUTED_VALUE"""),0)</f>
        <v>0</v>
      </c>
      <c r="AI19" s="8" t="str">
        <f ca="1">IFERROR(__xludf.DUMMYFUNCTION("""COMPUTED_VALUE"""),"")</f>
        <v/>
      </c>
      <c r="AJ19" s="8" t="str">
        <f ca="1">IFERROR(__xludf.DUMMYFUNCTION("""COMPUTED_VALUE"""),"")</f>
        <v/>
      </c>
      <c r="AK19" s="8" t="str">
        <f ca="1">IFERROR(__xludf.DUMMYFUNCTION("""COMPUTED_VALUE"""),"")</f>
        <v/>
      </c>
      <c r="AL19" s="8" t="str">
        <f ca="1">IFERROR(__xludf.DUMMYFUNCTION("""COMPUTED_VALUE"""),"")</f>
        <v/>
      </c>
      <c r="AM19" s="10" t="str">
        <f ca="1">IFERROR(__xludf.DUMMYFUNCTION("""COMPUTED_VALUE"""),"")</f>
        <v/>
      </c>
    </row>
    <row r="20" spans="1:39" x14ac:dyDescent="0.2">
      <c r="A20" s="2">
        <f ca="1">IF($G20="","",IF(ISERROR(MATCH($N20,Lge_Scratch!$B:$B,0)),1,0))</f>
        <v>0</v>
      </c>
      <c r="B20" s="2">
        <f ca="1">IF($G20="","",IF(AND(LEFT($Q20,8)="Non-aero",ISERROR(MATCH($N20,Lge_NonAero!$B:$B,0))),1,0))</f>
        <v>0</v>
      </c>
      <c r="C20" s="5">
        <f ca="1">IF($G20="","",IF(AND(LEFT($O20,3)="Wom",ISERROR(MATCH($N20,Lge_Women!$B:$B,0))),1,0))</f>
        <v>0</v>
      </c>
      <c r="D20" s="2">
        <f ca="1">IF($G20="","",IF(AND(OR($O20="Vet",$O20="Woman Vet"),ISERROR(MATCH($N20,Lge_Vets!$B:$B,0))),1,0))</f>
        <v>0</v>
      </c>
      <c r="E20" s="2">
        <f ca="1">IF($G20="","",IF(AND(OR($O20="Junior",$O20="Woman Junior",$O20="Youth",$O20="Woman Youth"),ISERROR(MATCH($N20,Lge_Junior!$B:$B,0))),1,0))</f>
        <v>0</v>
      </c>
      <c r="F20" s="2">
        <f ca="1">IF($G20="","",IF(AND(LEFT($O20,3)="You",ISERROR(MATCH($N20,Lge_Youth!$B:$B,0))),1,0))</f>
        <v>0</v>
      </c>
      <c r="G20" s="3" t="str">
        <f ca="1">IFERROR(__xludf.DUMMYFUNCTION("""COMPUTED_VALUE"""),"45829_Saturday League_7")</f>
        <v>45829_Saturday League_7</v>
      </c>
      <c r="H20" s="3" t="str">
        <f ca="1">IFERROR(__xludf.DUMMYFUNCTION("""COMPUTED_VALUE"""),"45829_Saturday League_7_1")</f>
        <v>45829_Saturday League_7_1</v>
      </c>
      <c r="I20" s="3">
        <f ca="1">IFERROR(__xludf.DUMMYFUNCTION("""COMPUTED_VALUE"""),13)</f>
        <v>13</v>
      </c>
      <c r="J20" s="3" t="str">
        <f ca="1">IFERROR(__xludf.DUMMYFUNCTION("""COMPUTED_VALUE"""),"Saturday League")</f>
        <v>Saturday League</v>
      </c>
      <c r="K20" s="6">
        <f ca="1">IFERROR(__xludf.DUMMYFUNCTION("""COMPUTED_VALUE"""),45829)</f>
        <v>45829</v>
      </c>
      <c r="L20" s="4">
        <f ca="1">IFERROR(__xludf.DUMMYFUNCTION("""COMPUTED_VALUE"""),7)</f>
        <v>7</v>
      </c>
      <c r="M20" s="4">
        <f ca="1">IFERROR(__xludf.DUMMYFUNCTION("""COMPUTED_VALUE"""),1)</f>
        <v>1</v>
      </c>
      <c r="N20" s="8" t="str">
        <f ca="1">IFERROR(__xludf.DUMMYFUNCTION("""COMPUTED_VALUE"""),"Marc Brant")</f>
        <v>Marc Brant</v>
      </c>
      <c r="O20" s="8" t="str">
        <f ca="1">IFERROR(__xludf.DUMMYFUNCTION("""COMPUTED_VALUE"""),"Vet")</f>
        <v>Vet</v>
      </c>
      <c r="P20" s="9">
        <f ca="1">IFERROR(__xludf.DUMMYFUNCTION("""COMPUTED_VALUE"""),0.0118171296296296)</f>
        <v>1.1817129629629599E-2</v>
      </c>
      <c r="Q20" s="8" t="str">
        <f ca="1">IFERROR(__xludf.DUMMYFUNCTION("""COMPUTED_VALUE"""),"PB")</f>
        <v>PB</v>
      </c>
      <c r="R20" s="8">
        <f ca="1">IFERROR(__xludf.DUMMYFUNCTION("""COMPUTED_VALUE"""),60)</f>
        <v>60</v>
      </c>
      <c r="S20" s="9"/>
      <c r="T20" s="8"/>
      <c r="U20" s="8">
        <f ca="1">IFERROR(__xludf.DUMMYFUNCTION("""COMPUTED_VALUE"""),60)</f>
        <v>60</v>
      </c>
      <c r="V20" s="9">
        <f ca="1">IFERROR(__xludf.DUMMYFUNCTION("""COMPUTED_VALUE"""),0.0114363425925925)</f>
        <v>1.14363425925925E-2</v>
      </c>
      <c r="W20" s="8">
        <f ca="1">IFERROR(__xludf.DUMMYFUNCTION("""COMPUTED_VALUE"""),2)</f>
        <v>2</v>
      </c>
      <c r="X20" s="8">
        <f ca="1">IFERROR(__xludf.DUMMYFUNCTION("""COMPUTED_VALUE"""),59)</f>
        <v>59</v>
      </c>
      <c r="Y20" s="8">
        <f ca="1">IFERROR(__xludf.DUMMYFUNCTION("""COMPUTED_VALUE"""),0)</f>
        <v>0</v>
      </c>
      <c r="Z20" s="8">
        <f ca="1">IFERROR(__xludf.DUMMYFUNCTION("""COMPUTED_VALUE"""),0)</f>
        <v>0</v>
      </c>
      <c r="AA20" s="8">
        <f ca="1">IFERROR(__xludf.DUMMYFUNCTION("""COMPUTED_VALUE"""),0)</f>
        <v>0</v>
      </c>
      <c r="AB20" s="8">
        <f ca="1">IFERROR(__xludf.DUMMYFUNCTION("""COMPUTED_VALUE"""),0)</f>
        <v>0</v>
      </c>
      <c r="AC20" s="8">
        <f ca="1">IFERROR(__xludf.DUMMYFUNCTION("""COMPUTED_VALUE"""),0)</f>
        <v>0</v>
      </c>
      <c r="AD20" s="8">
        <f ca="1">IFERROR(__xludf.DUMMYFUNCTION("""COMPUTED_VALUE"""),0)</f>
        <v>0</v>
      </c>
      <c r="AE20" s="8">
        <f ca="1">IFERROR(__xludf.DUMMYFUNCTION("""COMPUTED_VALUE"""),0)</f>
        <v>0</v>
      </c>
      <c r="AF20" s="8" t="str">
        <f ca="1">IFERROR(__xludf.DUMMYFUNCTION("""COMPUTED_VALUE"""),"")</f>
        <v/>
      </c>
      <c r="AG20" s="8" t="str">
        <f ca="1">IFERROR(__xludf.DUMMYFUNCTION("""COMPUTED_VALUE"""),"")</f>
        <v/>
      </c>
      <c r="AH20" s="8">
        <f ca="1">IFERROR(__xludf.DUMMYFUNCTION("""COMPUTED_VALUE"""),0)</f>
        <v>0</v>
      </c>
      <c r="AI20" s="8" t="str">
        <f ca="1">IFERROR(__xludf.DUMMYFUNCTION("""COMPUTED_VALUE"""),"")</f>
        <v/>
      </c>
      <c r="AJ20" s="8" t="str">
        <f ca="1">IFERROR(__xludf.DUMMYFUNCTION("""COMPUTED_VALUE"""),"PB")</f>
        <v>PB</v>
      </c>
      <c r="AK20" s="8" t="str">
        <f ca="1">IFERROR(__xludf.DUMMYFUNCTION("""COMPUTED_VALUE"""),"")</f>
        <v/>
      </c>
      <c r="AL20" s="8" t="str">
        <f ca="1">IFERROR(__xludf.DUMMYFUNCTION("""COMPUTED_VALUE"""),"")</f>
        <v/>
      </c>
      <c r="AM20" s="10" t="str">
        <f ca="1">IFERROR(__xludf.DUMMYFUNCTION("""COMPUTED_VALUE"""),"")</f>
        <v/>
      </c>
    </row>
    <row r="21" spans="1:39" x14ac:dyDescent="0.2">
      <c r="A21" s="2">
        <f ca="1">IF($G21="","",IF(ISERROR(MATCH($N21,Lge_Scratch!$B:$B,0)),1,0))</f>
        <v>0</v>
      </c>
      <c r="B21" s="2">
        <f ca="1">IF($G21="","",IF(AND(LEFT($Q21,8)="Non-aero",ISERROR(MATCH($N21,Lge_NonAero!$B:$B,0))),1,0))</f>
        <v>0</v>
      </c>
      <c r="C21" s="5">
        <f ca="1">IF($G21="","",IF(AND(LEFT($O21,3)="Wom",ISERROR(MATCH($N21,Lge_Women!$B:$B,0))),1,0))</f>
        <v>0</v>
      </c>
      <c r="D21" s="2">
        <f ca="1">IF($G21="","",IF(AND(OR($O21="Vet",$O21="Woman Vet"),ISERROR(MATCH($N21,Lge_Vets!$B:$B,0))),1,0))</f>
        <v>0</v>
      </c>
      <c r="E21" s="2">
        <f ca="1">IF($G21="","",IF(AND(OR($O21="Junior",$O21="Woman Junior",$O21="Youth",$O21="Woman Youth"),ISERROR(MATCH($N21,Lge_Junior!$B:$B,0))),1,0))</f>
        <v>0</v>
      </c>
      <c r="F21" s="2">
        <f ca="1">IF($G21="","",IF(AND(LEFT($O21,3)="You",ISERROR(MATCH($N21,Lge_Youth!$B:$B,0))),1,0))</f>
        <v>0</v>
      </c>
      <c r="G21" s="3" t="str">
        <f ca="1">IFERROR(__xludf.DUMMYFUNCTION("""COMPUTED_VALUE"""),"45829_Saturday League_7")</f>
        <v>45829_Saturday League_7</v>
      </c>
      <c r="H21" s="3" t="str">
        <f ca="1">IFERROR(__xludf.DUMMYFUNCTION("""COMPUTED_VALUE"""),"45829_Saturday League_7_2")</f>
        <v>45829_Saturday League_7_2</v>
      </c>
      <c r="I21" s="3">
        <f ca="1">IFERROR(__xludf.DUMMYFUNCTION("""COMPUTED_VALUE"""),13)</f>
        <v>13</v>
      </c>
      <c r="J21" s="3" t="str">
        <f ca="1">IFERROR(__xludf.DUMMYFUNCTION("""COMPUTED_VALUE"""),"Saturday League")</f>
        <v>Saturday League</v>
      </c>
      <c r="K21" s="6">
        <f ca="1">IFERROR(__xludf.DUMMYFUNCTION("""COMPUTED_VALUE"""),45829)</f>
        <v>45829</v>
      </c>
      <c r="L21" s="4">
        <f ca="1">IFERROR(__xludf.DUMMYFUNCTION("""COMPUTED_VALUE"""),7)</f>
        <v>7</v>
      </c>
      <c r="M21" s="4">
        <f ca="1">IFERROR(__xludf.DUMMYFUNCTION("""COMPUTED_VALUE"""),2)</f>
        <v>2</v>
      </c>
      <c r="N21" s="8" t="str">
        <f ca="1">IFERROR(__xludf.DUMMYFUNCTION("""COMPUTED_VALUE"""),"Philip Brant")</f>
        <v>Philip Brant</v>
      </c>
      <c r="O21" s="8" t="str">
        <f ca="1">IFERROR(__xludf.DUMMYFUNCTION("""COMPUTED_VALUE"""),"Vet")</f>
        <v>Vet</v>
      </c>
      <c r="P21" s="9">
        <f ca="1">IFERROR(__xludf.DUMMYFUNCTION("""COMPUTED_VALUE"""),0.0124305555555555)</f>
        <v>1.24305555555555E-2</v>
      </c>
      <c r="Q21" s="8" t="str">
        <f ca="1">IFERROR(__xludf.DUMMYFUNCTION("""COMPUTED_VALUE"""),"PB Age Record")</f>
        <v>PB Age Record</v>
      </c>
      <c r="R21" s="8">
        <f ca="1">IFERROR(__xludf.DUMMYFUNCTION("""COMPUTED_VALUE"""),59)</f>
        <v>59</v>
      </c>
      <c r="S21" s="9"/>
      <c r="T21" s="8"/>
      <c r="U21" s="8">
        <f ca="1">IFERROR(__xludf.DUMMYFUNCTION("""COMPUTED_VALUE"""),60)</f>
        <v>60</v>
      </c>
      <c r="V21" s="9">
        <f ca="1">IFERROR(__xludf.DUMMYFUNCTION("""COMPUTED_VALUE"""),0.0106643518518518)</f>
        <v>1.06643518518518E-2</v>
      </c>
      <c r="W21" s="8">
        <f ca="1">IFERROR(__xludf.DUMMYFUNCTION("""COMPUTED_VALUE"""),1)</f>
        <v>1</v>
      </c>
      <c r="X21" s="8">
        <f ca="1">IFERROR(__xludf.DUMMYFUNCTION("""COMPUTED_VALUE"""),60)</f>
        <v>60</v>
      </c>
      <c r="Y21" s="8">
        <f ca="1">IFERROR(__xludf.DUMMYFUNCTION("""COMPUTED_VALUE"""),0)</f>
        <v>0</v>
      </c>
      <c r="Z21" s="8">
        <f ca="1">IFERROR(__xludf.DUMMYFUNCTION("""COMPUTED_VALUE"""),0)</f>
        <v>0</v>
      </c>
      <c r="AA21" s="8">
        <f ca="1">IFERROR(__xludf.DUMMYFUNCTION("""COMPUTED_VALUE"""),0)</f>
        <v>0</v>
      </c>
      <c r="AB21" s="8">
        <f ca="1">IFERROR(__xludf.DUMMYFUNCTION("""COMPUTED_VALUE"""),0)</f>
        <v>0</v>
      </c>
      <c r="AC21" s="8">
        <f ca="1">IFERROR(__xludf.DUMMYFUNCTION("""COMPUTED_VALUE"""),0)</f>
        <v>0</v>
      </c>
      <c r="AD21" s="8">
        <f ca="1">IFERROR(__xludf.DUMMYFUNCTION("""COMPUTED_VALUE"""),0)</f>
        <v>0</v>
      </c>
      <c r="AE21" s="8">
        <f ca="1">IFERROR(__xludf.DUMMYFUNCTION("""COMPUTED_VALUE"""),0)</f>
        <v>0</v>
      </c>
      <c r="AF21" s="8" t="str">
        <f ca="1">IFERROR(__xludf.DUMMYFUNCTION("""COMPUTED_VALUE"""),"")</f>
        <v/>
      </c>
      <c r="AG21" s="8" t="str">
        <f ca="1">IFERROR(__xludf.DUMMYFUNCTION("""COMPUTED_VALUE"""),"")</f>
        <v/>
      </c>
      <c r="AH21" s="8">
        <f ca="1">IFERROR(__xludf.DUMMYFUNCTION("""COMPUTED_VALUE"""),0)</f>
        <v>0</v>
      </c>
      <c r="AI21" s="8" t="str">
        <f ca="1">IFERROR(__xludf.DUMMYFUNCTION("""COMPUTED_VALUE"""),"")</f>
        <v/>
      </c>
      <c r="AJ21" s="8" t="str">
        <f ca="1">IFERROR(__xludf.DUMMYFUNCTION("""COMPUTED_VALUE"""),"PB")</f>
        <v>PB</v>
      </c>
      <c r="AK21" s="8" t="str">
        <f ca="1">IFERROR(__xludf.DUMMYFUNCTION("""COMPUTED_VALUE"""),"")</f>
        <v/>
      </c>
      <c r="AL21" s="8" t="str">
        <f ca="1">IFERROR(__xludf.DUMMYFUNCTION("""COMPUTED_VALUE"""),"Age Record")</f>
        <v>Age Record</v>
      </c>
      <c r="AM21" s="10" t="str">
        <f ca="1">IFERROR(__xludf.DUMMYFUNCTION("""COMPUTED_VALUE"""),"")</f>
        <v/>
      </c>
    </row>
    <row r="22" spans="1:39" x14ac:dyDescent="0.2">
      <c r="A22" s="2">
        <f ca="1">IF($G22="","",IF(ISERROR(MATCH($N22,Lge_Scratch!$B:$B,0)),1,0))</f>
        <v>0</v>
      </c>
      <c r="B22" s="2">
        <f ca="1">IF($G22="","",IF(AND(LEFT($Q22,8)="Non-aero",ISERROR(MATCH($N22,Lge_NonAero!$B:$B,0))),1,0))</f>
        <v>0</v>
      </c>
      <c r="C22" s="5">
        <f ca="1">IF($G22="","",IF(AND(LEFT($O22,3)="Wom",ISERROR(MATCH($N22,Lge_Women!$B:$B,0))),1,0))</f>
        <v>0</v>
      </c>
      <c r="D22" s="2">
        <f ca="1">IF($G22="","",IF(AND(OR($O22="Vet",$O22="Woman Vet"),ISERROR(MATCH($N22,Lge_Vets!$B:$B,0))),1,0))</f>
        <v>0</v>
      </c>
      <c r="E22" s="2">
        <f ca="1">IF($G22="","",IF(AND(OR($O22="Junior",$O22="Woman Junior",$O22="Youth",$O22="Woman Youth"),ISERROR(MATCH($N22,Lge_Junior!$B:$B,0))),1,0))</f>
        <v>0</v>
      </c>
      <c r="F22" s="2">
        <f ca="1">IF($G22="","",IF(AND(LEFT($O22,3)="You",ISERROR(MATCH($N22,Lge_Youth!$B:$B,0))),1,0))</f>
        <v>0</v>
      </c>
      <c r="G22" s="3" t="str">
        <f ca="1">IFERROR(__xludf.DUMMYFUNCTION("""COMPUTED_VALUE"""),"45829_Saturday League_7")</f>
        <v>45829_Saturday League_7</v>
      </c>
      <c r="H22" s="3" t="str">
        <f ca="1">IFERROR(__xludf.DUMMYFUNCTION("""COMPUTED_VALUE"""),"45829_Saturday League_7_3")</f>
        <v>45829_Saturday League_7_3</v>
      </c>
      <c r="I22" s="3">
        <f ca="1">IFERROR(__xludf.DUMMYFUNCTION("""COMPUTED_VALUE"""),13)</f>
        <v>13</v>
      </c>
      <c r="J22" s="3" t="str">
        <f ca="1">IFERROR(__xludf.DUMMYFUNCTION("""COMPUTED_VALUE"""),"Saturday League")</f>
        <v>Saturday League</v>
      </c>
      <c r="K22" s="6">
        <f ca="1">IFERROR(__xludf.DUMMYFUNCTION("""COMPUTED_VALUE"""),45829)</f>
        <v>45829</v>
      </c>
      <c r="L22" s="4">
        <f ca="1">IFERROR(__xludf.DUMMYFUNCTION("""COMPUTED_VALUE"""),7)</f>
        <v>7</v>
      </c>
      <c r="M22" s="4">
        <f ca="1">IFERROR(__xludf.DUMMYFUNCTION("""COMPUTED_VALUE"""),3)</f>
        <v>3</v>
      </c>
      <c r="N22" s="8" t="str">
        <f ca="1">IFERROR(__xludf.DUMMYFUNCTION("""COMPUTED_VALUE"""),"Ben Pennington")</f>
        <v>Ben Pennington</v>
      </c>
      <c r="O22" s="8" t="str">
        <f ca="1">IFERROR(__xludf.DUMMYFUNCTION("""COMPUTED_VALUE"""),"Vet")</f>
        <v>Vet</v>
      </c>
      <c r="P22" s="9">
        <f ca="1">IFERROR(__xludf.DUMMYFUNCTION("""COMPUTED_VALUE"""),0.0130555555555555)</f>
        <v>1.3055555555555501E-2</v>
      </c>
      <c r="Q22" s="8" t="str">
        <f ca="1">IFERROR(__xludf.DUMMYFUNCTION("""COMPUTED_VALUE"""),"Non-aero PB")</f>
        <v>Non-aero PB</v>
      </c>
      <c r="R22" s="8">
        <f ca="1">IFERROR(__xludf.DUMMYFUNCTION("""COMPUTED_VALUE"""),58)</f>
        <v>58</v>
      </c>
      <c r="S22" s="9"/>
      <c r="T22" s="8"/>
      <c r="U22" s="8">
        <f ca="1">IFERROR(__xludf.DUMMYFUNCTION("""COMPUTED_VALUE"""),60)</f>
        <v>60</v>
      </c>
      <c r="V22" s="9">
        <f ca="1">IFERROR(__xludf.DUMMYFUNCTION("""COMPUTED_VALUE"""),0.0128043981481481)</f>
        <v>1.28043981481481E-2</v>
      </c>
      <c r="W22" s="8">
        <f ca="1">IFERROR(__xludf.DUMMYFUNCTION("""COMPUTED_VALUE"""),5)</f>
        <v>5</v>
      </c>
      <c r="X22" s="8">
        <f ca="1">IFERROR(__xludf.DUMMYFUNCTION("""COMPUTED_VALUE"""),56)</f>
        <v>56</v>
      </c>
      <c r="Y22" s="8">
        <f ca="1">IFERROR(__xludf.DUMMYFUNCTION("""COMPUTED_VALUE"""),0)</f>
        <v>0</v>
      </c>
      <c r="Z22" s="8">
        <f ca="1">IFERROR(__xludf.DUMMYFUNCTION("""COMPUTED_VALUE"""),0)</f>
        <v>0</v>
      </c>
      <c r="AA22" s="8">
        <f ca="1">IFERROR(__xludf.DUMMYFUNCTION("""COMPUTED_VALUE"""),0)</f>
        <v>0</v>
      </c>
      <c r="AB22" s="8">
        <f ca="1">IFERROR(__xludf.DUMMYFUNCTION("""COMPUTED_VALUE"""),0)</f>
        <v>0</v>
      </c>
      <c r="AC22" s="8">
        <f ca="1">IFERROR(__xludf.DUMMYFUNCTION("""COMPUTED_VALUE"""),0)</f>
        <v>0</v>
      </c>
      <c r="AD22" s="8">
        <f ca="1">IFERROR(__xludf.DUMMYFUNCTION("""COMPUTED_VALUE"""),0)</f>
        <v>0</v>
      </c>
      <c r="AE22" s="8">
        <f ca="1">IFERROR(__xludf.DUMMYFUNCTION("""COMPUTED_VALUE"""),60)</f>
        <v>60</v>
      </c>
      <c r="AF22" s="8">
        <f ca="1">IFERROR(__xludf.DUMMYFUNCTION("""COMPUTED_VALUE"""),1)</f>
        <v>1</v>
      </c>
      <c r="AG22" s="8" t="str">
        <f ca="1">IFERROR(__xludf.DUMMYFUNCTION("""COMPUTED_VALUE"""),"")</f>
        <v/>
      </c>
      <c r="AH22" s="8">
        <f ca="1">IFERROR(__xludf.DUMMYFUNCTION("""COMPUTED_VALUE"""),0)</f>
        <v>0</v>
      </c>
      <c r="AI22" s="8" t="str">
        <f ca="1">IFERROR(__xludf.DUMMYFUNCTION("""COMPUTED_VALUE"""),"")</f>
        <v/>
      </c>
      <c r="AJ22" s="8" t="str">
        <f ca="1">IFERROR(__xludf.DUMMYFUNCTION("""COMPUTED_VALUE"""),"PB")</f>
        <v>PB</v>
      </c>
      <c r="AK22" s="8" t="str">
        <f ca="1">IFERROR(__xludf.DUMMYFUNCTION("""COMPUTED_VALUE"""),"")</f>
        <v/>
      </c>
      <c r="AL22" s="8" t="str">
        <f ca="1">IFERROR(__xludf.DUMMYFUNCTION("""COMPUTED_VALUE"""),"")</f>
        <v/>
      </c>
      <c r="AM22" s="10" t="str">
        <f ca="1">IFERROR(__xludf.DUMMYFUNCTION("""COMPUTED_VALUE"""),"")</f>
        <v/>
      </c>
    </row>
    <row r="23" spans="1:39" x14ac:dyDescent="0.2">
      <c r="A23" s="2">
        <f ca="1">IF($G23="","",IF(ISERROR(MATCH($N23,Lge_Scratch!$B:$B,0)),1,0))</f>
        <v>0</v>
      </c>
      <c r="B23" s="2">
        <f ca="1">IF($G23="","",IF(AND(LEFT($Q23,8)="Non-aero",ISERROR(MATCH($N23,Lge_NonAero!$B:$B,0))),1,0))</f>
        <v>0</v>
      </c>
      <c r="C23" s="5">
        <f ca="1">IF($G23="","",IF(AND(LEFT($O23,3)="Wom",ISERROR(MATCH($N23,Lge_Women!$B:$B,0))),1,0))</f>
        <v>0</v>
      </c>
      <c r="D23" s="2">
        <f ca="1">IF($G23="","",IF(AND(OR($O23="Vet",$O23="Woman Vet"),ISERROR(MATCH($N23,Lge_Vets!$B:$B,0))),1,0))</f>
        <v>0</v>
      </c>
      <c r="E23" s="2">
        <f ca="1">IF($G23="","",IF(AND(OR($O23="Junior",$O23="Woman Junior",$O23="Youth",$O23="Woman Youth"),ISERROR(MATCH($N23,Lge_Junior!$B:$B,0))),1,0))</f>
        <v>0</v>
      </c>
      <c r="F23" s="2">
        <f ca="1">IF($G23="","",IF(AND(LEFT($O23,3)="You",ISERROR(MATCH($N23,Lge_Youth!$B:$B,0))),1,0))</f>
        <v>0</v>
      </c>
      <c r="G23" s="3" t="str">
        <f ca="1">IFERROR(__xludf.DUMMYFUNCTION("""COMPUTED_VALUE"""),"45829_Saturday League_7")</f>
        <v>45829_Saturday League_7</v>
      </c>
      <c r="H23" s="3" t="str">
        <f ca="1">IFERROR(__xludf.DUMMYFUNCTION("""COMPUTED_VALUE"""),"45829_Saturday League_7_4")</f>
        <v>45829_Saturday League_7_4</v>
      </c>
      <c r="I23" s="3">
        <f ca="1">IFERROR(__xludf.DUMMYFUNCTION("""COMPUTED_VALUE"""),13)</f>
        <v>13</v>
      </c>
      <c r="J23" s="3" t="str">
        <f ca="1">IFERROR(__xludf.DUMMYFUNCTION("""COMPUTED_VALUE"""),"Saturday League")</f>
        <v>Saturday League</v>
      </c>
      <c r="K23" s="6">
        <f ca="1">IFERROR(__xludf.DUMMYFUNCTION("""COMPUTED_VALUE"""),45829)</f>
        <v>45829</v>
      </c>
      <c r="L23" s="4">
        <f ca="1">IFERROR(__xludf.DUMMYFUNCTION("""COMPUTED_VALUE"""),7)</f>
        <v>7</v>
      </c>
      <c r="M23" s="4">
        <f ca="1">IFERROR(__xludf.DUMMYFUNCTION("""COMPUTED_VALUE"""),4)</f>
        <v>4</v>
      </c>
      <c r="N23" s="8" t="str">
        <f ca="1">IFERROR(__xludf.DUMMYFUNCTION("""COMPUTED_VALUE"""),"John-Paul Paduarno")</f>
        <v>John-Paul Paduarno</v>
      </c>
      <c r="O23" s="8" t="str">
        <f ca="1">IFERROR(__xludf.DUMMYFUNCTION("""COMPUTED_VALUE"""),"Vet")</f>
        <v>Vet</v>
      </c>
      <c r="P23" s="9">
        <f ca="1">IFERROR(__xludf.DUMMYFUNCTION("""COMPUTED_VALUE"""),0.0131944444444444)</f>
        <v>1.3194444444444399E-2</v>
      </c>
      <c r="Q23" s="8" t="str">
        <f ca="1">IFERROR(__xludf.DUMMYFUNCTION("""COMPUTED_VALUE"""),"Non-aero")</f>
        <v>Non-aero</v>
      </c>
      <c r="R23" s="8">
        <f ca="1">IFERROR(__xludf.DUMMYFUNCTION("""COMPUTED_VALUE"""),57)</f>
        <v>57</v>
      </c>
      <c r="S23" s="9"/>
      <c r="T23" s="8"/>
      <c r="U23" s="8">
        <f ca="1">IFERROR(__xludf.DUMMYFUNCTION("""COMPUTED_VALUE"""),60)</f>
        <v>60</v>
      </c>
      <c r="V23" s="9">
        <f ca="1">IFERROR(__xludf.DUMMYFUNCTION("""COMPUTED_VALUE"""),0.0130810185185185)</f>
        <v>1.3081018518518501E-2</v>
      </c>
      <c r="W23" s="8">
        <f ca="1">IFERROR(__xludf.DUMMYFUNCTION("""COMPUTED_VALUE"""),7)</f>
        <v>7</v>
      </c>
      <c r="X23" s="8">
        <f ca="1">IFERROR(__xludf.DUMMYFUNCTION("""COMPUTED_VALUE"""),54)</f>
        <v>54</v>
      </c>
      <c r="Y23" s="8">
        <f ca="1">IFERROR(__xludf.DUMMYFUNCTION("""COMPUTED_VALUE"""),0)</f>
        <v>0</v>
      </c>
      <c r="Z23" s="8">
        <f ca="1">IFERROR(__xludf.DUMMYFUNCTION("""COMPUTED_VALUE"""),0)</f>
        <v>0</v>
      </c>
      <c r="AA23" s="8">
        <f ca="1">IFERROR(__xludf.DUMMYFUNCTION("""COMPUTED_VALUE"""),0)</f>
        <v>0</v>
      </c>
      <c r="AB23" s="8">
        <f ca="1">IFERROR(__xludf.DUMMYFUNCTION("""COMPUTED_VALUE"""),0)</f>
        <v>0</v>
      </c>
      <c r="AC23" s="8">
        <f ca="1">IFERROR(__xludf.DUMMYFUNCTION("""COMPUTED_VALUE"""),0)</f>
        <v>0</v>
      </c>
      <c r="AD23" s="8">
        <f ca="1">IFERROR(__xludf.DUMMYFUNCTION("""COMPUTED_VALUE"""),0)</f>
        <v>0</v>
      </c>
      <c r="AE23" s="8">
        <f ca="1">IFERROR(__xludf.DUMMYFUNCTION("""COMPUTED_VALUE"""),59)</f>
        <v>59</v>
      </c>
      <c r="AF23" s="8">
        <f ca="1">IFERROR(__xludf.DUMMYFUNCTION("""COMPUTED_VALUE"""),2)</f>
        <v>2</v>
      </c>
      <c r="AG23" s="8" t="str">
        <f ca="1">IFERROR(__xludf.DUMMYFUNCTION("""COMPUTED_VALUE"""),"")</f>
        <v/>
      </c>
      <c r="AH23" s="8">
        <f ca="1">IFERROR(__xludf.DUMMYFUNCTION("""COMPUTED_VALUE"""),0)</f>
        <v>0</v>
      </c>
      <c r="AI23" s="8" t="str">
        <f ca="1">IFERROR(__xludf.DUMMYFUNCTION("""COMPUTED_VALUE"""),"")</f>
        <v/>
      </c>
      <c r="AJ23" s="8" t="str">
        <f ca="1">IFERROR(__xludf.DUMMYFUNCTION("""COMPUTED_VALUE"""),"")</f>
        <v/>
      </c>
      <c r="AK23" s="8" t="str">
        <f ca="1">IFERROR(__xludf.DUMMYFUNCTION("""COMPUTED_VALUE"""),"")</f>
        <v/>
      </c>
      <c r="AL23" s="8" t="str">
        <f ca="1">IFERROR(__xludf.DUMMYFUNCTION("""COMPUTED_VALUE"""),"")</f>
        <v/>
      </c>
      <c r="AM23" s="10" t="str">
        <f ca="1">IFERROR(__xludf.DUMMYFUNCTION("""COMPUTED_VALUE"""),"")</f>
        <v/>
      </c>
    </row>
    <row r="24" spans="1:39" x14ac:dyDescent="0.2">
      <c r="A24" s="2">
        <f ca="1">IF($G24="","",IF(ISERROR(MATCH($N24,Lge_Scratch!$B:$B,0)),1,0))</f>
        <v>0</v>
      </c>
      <c r="B24" s="2">
        <f ca="1">IF($G24="","",IF(AND(LEFT($Q24,8)="Non-aero",ISERROR(MATCH($N24,Lge_NonAero!$B:$B,0))),1,0))</f>
        <v>0</v>
      </c>
      <c r="C24" s="5">
        <f ca="1">IF($G24="","",IF(AND(LEFT($O24,3)="Wom",ISERROR(MATCH($N24,Lge_Women!$B:$B,0))),1,0))</f>
        <v>0</v>
      </c>
      <c r="D24" s="2">
        <f ca="1">IF($G24="","",IF(AND(OR($O24="Vet",$O24="Woman Vet"),ISERROR(MATCH($N24,Lge_Vets!$B:$B,0))),1,0))</f>
        <v>0</v>
      </c>
      <c r="E24" s="2">
        <f ca="1">IF($G24="","",IF(AND(OR($O24="Junior",$O24="Woman Junior",$O24="Youth",$O24="Woman Youth"),ISERROR(MATCH($N24,Lge_Junior!$B:$B,0))),1,0))</f>
        <v>0</v>
      </c>
      <c r="F24" s="2">
        <f ca="1">IF($G24="","",IF(AND(LEFT($O24,3)="You",ISERROR(MATCH($N24,Lge_Youth!$B:$B,0))),1,0))</f>
        <v>0</v>
      </c>
      <c r="G24" s="3" t="str">
        <f ca="1">IFERROR(__xludf.DUMMYFUNCTION("""COMPUTED_VALUE"""),"45829_Saturday League_7")</f>
        <v>45829_Saturday League_7</v>
      </c>
      <c r="H24" s="3" t="str">
        <f ca="1">IFERROR(__xludf.DUMMYFUNCTION("""COMPUTED_VALUE"""),"45829_Saturday League_7_5")</f>
        <v>45829_Saturday League_7_5</v>
      </c>
      <c r="I24" s="3">
        <f ca="1">IFERROR(__xludf.DUMMYFUNCTION("""COMPUTED_VALUE"""),13)</f>
        <v>13</v>
      </c>
      <c r="J24" s="3" t="str">
        <f ca="1">IFERROR(__xludf.DUMMYFUNCTION("""COMPUTED_VALUE"""),"Saturday League")</f>
        <v>Saturday League</v>
      </c>
      <c r="K24" s="6">
        <f ca="1">IFERROR(__xludf.DUMMYFUNCTION("""COMPUTED_VALUE"""),45829)</f>
        <v>45829</v>
      </c>
      <c r="L24" s="4">
        <f ca="1">IFERROR(__xludf.DUMMYFUNCTION("""COMPUTED_VALUE"""),7)</f>
        <v>7</v>
      </c>
      <c r="M24" s="4">
        <f ca="1">IFERROR(__xludf.DUMMYFUNCTION("""COMPUTED_VALUE"""),5)</f>
        <v>5</v>
      </c>
      <c r="N24" s="8" t="str">
        <f ca="1">IFERROR(__xludf.DUMMYFUNCTION("""COMPUTED_VALUE"""),"Andy Merchant")</f>
        <v>Andy Merchant</v>
      </c>
      <c r="O24" s="8" t="str">
        <f ca="1">IFERROR(__xludf.DUMMYFUNCTION("""COMPUTED_VALUE"""),"Vet")</f>
        <v>Vet</v>
      </c>
      <c r="P24" s="9">
        <f ca="1">IFERROR(__xludf.DUMMYFUNCTION("""COMPUTED_VALUE"""),0.0132638888888888)</f>
        <v>1.3263888888888801E-2</v>
      </c>
      <c r="Q24" s="8" t="str">
        <f ca="1">IFERROR(__xludf.DUMMYFUNCTION("""COMPUTED_VALUE"""),"PB")</f>
        <v>PB</v>
      </c>
      <c r="R24" s="8">
        <f ca="1">IFERROR(__xludf.DUMMYFUNCTION("""COMPUTED_VALUE"""),56)</f>
        <v>56</v>
      </c>
      <c r="S24" s="9"/>
      <c r="T24" s="8"/>
      <c r="U24" s="8">
        <f ca="1">IFERROR(__xludf.DUMMYFUNCTION("""COMPUTED_VALUE"""),60)</f>
        <v>60</v>
      </c>
      <c r="V24" s="9">
        <f ca="1">IFERROR(__xludf.DUMMYFUNCTION("""COMPUTED_VALUE"""),0.0124212962962962)</f>
        <v>1.2421296296296199E-2</v>
      </c>
      <c r="W24" s="8">
        <f ca="1">IFERROR(__xludf.DUMMYFUNCTION("""COMPUTED_VALUE"""),4)</f>
        <v>4</v>
      </c>
      <c r="X24" s="8">
        <f ca="1">IFERROR(__xludf.DUMMYFUNCTION("""COMPUTED_VALUE"""),57)</f>
        <v>57</v>
      </c>
      <c r="Y24" s="8">
        <f ca="1">IFERROR(__xludf.DUMMYFUNCTION("""COMPUTED_VALUE"""),0)</f>
        <v>0</v>
      </c>
      <c r="Z24" s="8">
        <f ca="1">IFERROR(__xludf.DUMMYFUNCTION("""COMPUTED_VALUE"""),0)</f>
        <v>0</v>
      </c>
      <c r="AA24" s="8">
        <f ca="1">IFERROR(__xludf.DUMMYFUNCTION("""COMPUTED_VALUE"""),0)</f>
        <v>0</v>
      </c>
      <c r="AB24" s="8">
        <f ca="1">IFERROR(__xludf.DUMMYFUNCTION("""COMPUTED_VALUE"""),0)</f>
        <v>0</v>
      </c>
      <c r="AC24" s="8">
        <f ca="1">IFERROR(__xludf.DUMMYFUNCTION("""COMPUTED_VALUE"""),0)</f>
        <v>0</v>
      </c>
      <c r="AD24" s="8">
        <f ca="1">IFERROR(__xludf.DUMMYFUNCTION("""COMPUTED_VALUE"""),0)</f>
        <v>0</v>
      </c>
      <c r="AE24" s="8">
        <f ca="1">IFERROR(__xludf.DUMMYFUNCTION("""COMPUTED_VALUE"""),0)</f>
        <v>0</v>
      </c>
      <c r="AF24" s="8" t="str">
        <f ca="1">IFERROR(__xludf.DUMMYFUNCTION("""COMPUTED_VALUE"""),"")</f>
        <v/>
      </c>
      <c r="AG24" s="8" t="str">
        <f ca="1">IFERROR(__xludf.DUMMYFUNCTION("""COMPUTED_VALUE"""),"")</f>
        <v/>
      </c>
      <c r="AH24" s="8">
        <f ca="1">IFERROR(__xludf.DUMMYFUNCTION("""COMPUTED_VALUE"""),0)</f>
        <v>0</v>
      </c>
      <c r="AI24" s="8" t="str">
        <f ca="1">IFERROR(__xludf.DUMMYFUNCTION("""COMPUTED_VALUE"""),"")</f>
        <v/>
      </c>
      <c r="AJ24" s="8" t="str">
        <f ca="1">IFERROR(__xludf.DUMMYFUNCTION("""COMPUTED_VALUE"""),"PB")</f>
        <v>PB</v>
      </c>
      <c r="AK24" s="8" t="str">
        <f ca="1">IFERROR(__xludf.DUMMYFUNCTION("""COMPUTED_VALUE"""),"")</f>
        <v/>
      </c>
      <c r="AL24" s="8" t="str">
        <f ca="1">IFERROR(__xludf.DUMMYFUNCTION("""COMPUTED_VALUE"""),"")</f>
        <v/>
      </c>
      <c r="AM24" s="10" t="str">
        <f ca="1">IFERROR(__xludf.DUMMYFUNCTION("""COMPUTED_VALUE"""),"")</f>
        <v/>
      </c>
    </row>
    <row r="25" spans="1:39" x14ac:dyDescent="0.2">
      <c r="A25" s="2">
        <f ca="1">IF($G25="","",IF(ISERROR(MATCH($N25,Lge_Scratch!$B:$B,0)),1,0))</f>
        <v>0</v>
      </c>
      <c r="B25" s="2">
        <f ca="1">IF($G25="","",IF(AND(LEFT($Q25,8)="Non-aero",ISERROR(MATCH($N25,Lge_NonAero!$B:$B,0))),1,0))</f>
        <v>0</v>
      </c>
      <c r="C25" s="5">
        <f ca="1">IF($G25="","",IF(AND(LEFT($O25,3)="Wom",ISERROR(MATCH($N25,Lge_Women!$B:$B,0))),1,0))</f>
        <v>0</v>
      </c>
      <c r="D25" s="2">
        <f ca="1">IF($G25="","",IF(AND(OR($O25="Vet",$O25="Woman Vet"),ISERROR(MATCH($N25,Lge_Vets!$B:$B,0))),1,0))</f>
        <v>0</v>
      </c>
      <c r="E25" s="2">
        <f ca="1">IF($G25="","",IF(AND(OR($O25="Junior",$O25="Woman Junior",$O25="Youth",$O25="Woman Youth"),ISERROR(MATCH($N25,Lge_Junior!$B:$B,0))),1,0))</f>
        <v>0</v>
      </c>
      <c r="F25" s="2">
        <f ca="1">IF($G25="","",IF(AND(LEFT($O25,3)="You",ISERROR(MATCH($N25,Lge_Youth!$B:$B,0))),1,0))</f>
        <v>0</v>
      </c>
      <c r="G25" s="3" t="str">
        <f ca="1">IFERROR(__xludf.DUMMYFUNCTION("""COMPUTED_VALUE"""),"45829_Saturday League_7")</f>
        <v>45829_Saturday League_7</v>
      </c>
      <c r="H25" s="3" t="str">
        <f ca="1">IFERROR(__xludf.DUMMYFUNCTION("""COMPUTED_VALUE"""),"45829_Saturday League_7_6")</f>
        <v>45829_Saturday League_7_6</v>
      </c>
      <c r="I25" s="3">
        <f ca="1">IFERROR(__xludf.DUMMYFUNCTION("""COMPUTED_VALUE"""),13)</f>
        <v>13</v>
      </c>
      <c r="J25" s="3" t="str">
        <f ca="1">IFERROR(__xludf.DUMMYFUNCTION("""COMPUTED_VALUE"""),"Saturday League")</f>
        <v>Saturday League</v>
      </c>
      <c r="K25" s="6">
        <f ca="1">IFERROR(__xludf.DUMMYFUNCTION("""COMPUTED_VALUE"""),45829)</f>
        <v>45829</v>
      </c>
      <c r="L25" s="4">
        <f ca="1">IFERROR(__xludf.DUMMYFUNCTION("""COMPUTED_VALUE"""),7)</f>
        <v>7</v>
      </c>
      <c r="M25" s="4">
        <f ca="1">IFERROR(__xludf.DUMMYFUNCTION("""COMPUTED_VALUE"""),6)</f>
        <v>6</v>
      </c>
      <c r="N25" s="8" t="str">
        <f ca="1">IFERROR(__xludf.DUMMYFUNCTION("""COMPUTED_VALUE"""),"Adam Jones")</f>
        <v>Adam Jones</v>
      </c>
      <c r="O25" s="8" t="str">
        <f ca="1">IFERROR(__xludf.DUMMYFUNCTION("""COMPUTED_VALUE"""),"Vet")</f>
        <v>Vet</v>
      </c>
      <c r="P25" s="9">
        <f ca="1">IFERROR(__xludf.DUMMYFUNCTION("""COMPUTED_VALUE"""),0.0135879629629629)</f>
        <v>1.3587962962962901E-2</v>
      </c>
      <c r="Q25" s="8" t="str">
        <f ca="1">IFERROR(__xludf.DUMMYFUNCTION("""COMPUTED_VALUE"""),"Non-aero")</f>
        <v>Non-aero</v>
      </c>
      <c r="R25" s="8">
        <f ca="1">IFERROR(__xludf.DUMMYFUNCTION("""COMPUTED_VALUE"""),55)</f>
        <v>55</v>
      </c>
      <c r="S25" s="9"/>
      <c r="T25" s="8"/>
      <c r="U25" s="8">
        <f ca="1">IFERROR(__xludf.DUMMYFUNCTION("""COMPUTED_VALUE"""),60)</f>
        <v>60</v>
      </c>
      <c r="V25" s="9">
        <f ca="1">IFERROR(__xludf.DUMMYFUNCTION("""COMPUTED_VALUE"""),0.0130532407407407)</f>
        <v>1.30532407407407E-2</v>
      </c>
      <c r="W25" s="8">
        <f ca="1">IFERROR(__xludf.DUMMYFUNCTION("""COMPUTED_VALUE"""),6)</f>
        <v>6</v>
      </c>
      <c r="X25" s="8">
        <f ca="1">IFERROR(__xludf.DUMMYFUNCTION("""COMPUTED_VALUE"""),55)</f>
        <v>55</v>
      </c>
      <c r="Y25" s="8">
        <f ca="1">IFERROR(__xludf.DUMMYFUNCTION("""COMPUTED_VALUE"""),0)</f>
        <v>0</v>
      </c>
      <c r="Z25" s="8">
        <f ca="1">IFERROR(__xludf.DUMMYFUNCTION("""COMPUTED_VALUE"""),0)</f>
        <v>0</v>
      </c>
      <c r="AA25" s="8">
        <f ca="1">IFERROR(__xludf.DUMMYFUNCTION("""COMPUTED_VALUE"""),0)</f>
        <v>0</v>
      </c>
      <c r="AB25" s="8">
        <f ca="1">IFERROR(__xludf.DUMMYFUNCTION("""COMPUTED_VALUE"""),0)</f>
        <v>0</v>
      </c>
      <c r="AC25" s="8">
        <f ca="1">IFERROR(__xludf.DUMMYFUNCTION("""COMPUTED_VALUE"""),0)</f>
        <v>0</v>
      </c>
      <c r="AD25" s="8">
        <f ca="1">IFERROR(__xludf.DUMMYFUNCTION("""COMPUTED_VALUE"""),0)</f>
        <v>0</v>
      </c>
      <c r="AE25" s="8">
        <f ca="1">IFERROR(__xludf.DUMMYFUNCTION("""COMPUTED_VALUE"""),58)</f>
        <v>58</v>
      </c>
      <c r="AF25" s="8">
        <f ca="1">IFERROR(__xludf.DUMMYFUNCTION("""COMPUTED_VALUE"""),3)</f>
        <v>3</v>
      </c>
      <c r="AG25" s="8" t="str">
        <f ca="1">IFERROR(__xludf.DUMMYFUNCTION("""COMPUTED_VALUE"""),"")</f>
        <v/>
      </c>
      <c r="AH25" s="8">
        <f ca="1">IFERROR(__xludf.DUMMYFUNCTION("""COMPUTED_VALUE"""),0)</f>
        <v>0</v>
      </c>
      <c r="AI25" s="8" t="str">
        <f ca="1">IFERROR(__xludf.DUMMYFUNCTION("""COMPUTED_VALUE"""),"")</f>
        <v/>
      </c>
      <c r="AJ25" s="8" t="str">
        <f ca="1">IFERROR(__xludf.DUMMYFUNCTION("""COMPUTED_VALUE"""),"")</f>
        <v/>
      </c>
      <c r="AK25" s="8" t="str">
        <f ca="1">IFERROR(__xludf.DUMMYFUNCTION("""COMPUTED_VALUE"""),"")</f>
        <v/>
      </c>
      <c r="AL25" s="8" t="str">
        <f ca="1">IFERROR(__xludf.DUMMYFUNCTION("""COMPUTED_VALUE"""),"")</f>
        <v/>
      </c>
      <c r="AM25" s="10" t="str">
        <f ca="1">IFERROR(__xludf.DUMMYFUNCTION("""COMPUTED_VALUE"""),"")</f>
        <v/>
      </c>
    </row>
    <row r="26" spans="1:39" x14ac:dyDescent="0.2">
      <c r="A26" s="2">
        <f ca="1">IF($G26="","",IF(ISERROR(MATCH($N26,Lge_Scratch!$B:$B,0)),1,0))</f>
        <v>0</v>
      </c>
      <c r="B26" s="2">
        <f ca="1">IF($G26="","",IF(AND(LEFT($Q26,8)="Non-aero",ISERROR(MATCH($N26,Lge_NonAero!$B:$B,0))),1,0))</f>
        <v>0</v>
      </c>
      <c r="C26" s="5">
        <f ca="1">IF($G26="","",IF(AND(LEFT($O26,3)="Wom",ISERROR(MATCH($N26,Lge_Women!$B:$B,0))),1,0))</f>
        <v>0</v>
      </c>
      <c r="D26" s="2">
        <f ca="1">IF($G26="","",IF(AND(OR($O26="Vet",$O26="Woman Vet"),ISERROR(MATCH($N26,Lge_Vets!$B:$B,0))),1,0))</f>
        <v>0</v>
      </c>
      <c r="E26" s="2">
        <f ca="1">IF($G26="","",IF(AND(OR($O26="Junior",$O26="Woman Junior",$O26="Youth",$O26="Woman Youth"),ISERROR(MATCH($N26,Lge_Junior!$B:$B,0))),1,0))</f>
        <v>0</v>
      </c>
      <c r="F26" s="2">
        <f ca="1">IF($G26="","",IF(AND(LEFT($O26,3)="You",ISERROR(MATCH($N26,Lge_Youth!$B:$B,0))),1,0))</f>
        <v>0</v>
      </c>
      <c r="G26" s="3" t="str">
        <f ca="1">IFERROR(__xludf.DUMMYFUNCTION("""COMPUTED_VALUE"""),"45829_Saturday League_7")</f>
        <v>45829_Saturday League_7</v>
      </c>
      <c r="H26" s="3" t="str">
        <f ca="1">IFERROR(__xludf.DUMMYFUNCTION("""COMPUTED_VALUE"""),"45829_Saturday League_7_7")</f>
        <v>45829_Saturday League_7_7</v>
      </c>
      <c r="I26" s="3">
        <f ca="1">IFERROR(__xludf.DUMMYFUNCTION("""COMPUTED_VALUE"""),13)</f>
        <v>13</v>
      </c>
      <c r="J26" s="3" t="str">
        <f ca="1">IFERROR(__xludf.DUMMYFUNCTION("""COMPUTED_VALUE"""),"Saturday League")</f>
        <v>Saturday League</v>
      </c>
      <c r="K26" s="6">
        <f ca="1">IFERROR(__xludf.DUMMYFUNCTION("""COMPUTED_VALUE"""),45829)</f>
        <v>45829</v>
      </c>
      <c r="L26" s="4">
        <f ca="1">IFERROR(__xludf.DUMMYFUNCTION("""COMPUTED_VALUE"""),7)</f>
        <v>7</v>
      </c>
      <c r="M26" s="4">
        <f ca="1">IFERROR(__xludf.DUMMYFUNCTION("""COMPUTED_VALUE"""),7)</f>
        <v>7</v>
      </c>
      <c r="N26" s="8" t="str">
        <f ca="1">IFERROR(__xludf.DUMMYFUNCTION("""COMPUTED_VALUE"""),"Paul White")</f>
        <v>Paul White</v>
      </c>
      <c r="O26" s="8" t="str">
        <f ca="1">IFERROR(__xludf.DUMMYFUNCTION("""COMPUTED_VALUE"""),"Vet")</f>
        <v>Vet</v>
      </c>
      <c r="P26" s="9">
        <f ca="1">IFERROR(__xludf.DUMMYFUNCTION("""COMPUTED_VALUE"""),0.0137847222222222)</f>
        <v>1.37847222222222E-2</v>
      </c>
      <c r="Q26" s="8" t="str">
        <f ca="1">IFERROR(__xludf.DUMMYFUNCTION("""COMPUTED_VALUE"""),"Non-aero")</f>
        <v>Non-aero</v>
      </c>
      <c r="R26" s="8">
        <f ca="1">IFERROR(__xludf.DUMMYFUNCTION("""COMPUTED_VALUE"""),54)</f>
        <v>54</v>
      </c>
      <c r="S26" s="9"/>
      <c r="T26" s="8"/>
      <c r="U26" s="8">
        <f ca="1">IFERROR(__xludf.DUMMYFUNCTION("""COMPUTED_VALUE"""),60)</f>
        <v>60</v>
      </c>
      <c r="V26" s="9">
        <f ca="1">IFERROR(__xludf.DUMMYFUNCTION("""COMPUTED_VALUE"""),0.0120185185185185)</f>
        <v>1.20185185185185E-2</v>
      </c>
      <c r="W26" s="8">
        <f ca="1">IFERROR(__xludf.DUMMYFUNCTION("""COMPUTED_VALUE"""),3)</f>
        <v>3</v>
      </c>
      <c r="X26" s="8">
        <f ca="1">IFERROR(__xludf.DUMMYFUNCTION("""COMPUTED_VALUE"""),58)</f>
        <v>58</v>
      </c>
      <c r="Y26" s="8">
        <f ca="1">IFERROR(__xludf.DUMMYFUNCTION("""COMPUTED_VALUE"""),0)</f>
        <v>0</v>
      </c>
      <c r="Z26" s="8">
        <f ca="1">IFERROR(__xludf.DUMMYFUNCTION("""COMPUTED_VALUE"""),0)</f>
        <v>0</v>
      </c>
      <c r="AA26" s="8">
        <f ca="1">IFERROR(__xludf.DUMMYFUNCTION("""COMPUTED_VALUE"""),0)</f>
        <v>0</v>
      </c>
      <c r="AB26" s="8">
        <f ca="1">IFERROR(__xludf.DUMMYFUNCTION("""COMPUTED_VALUE"""),0)</f>
        <v>0</v>
      </c>
      <c r="AC26" s="8">
        <f ca="1">IFERROR(__xludf.DUMMYFUNCTION("""COMPUTED_VALUE"""),0)</f>
        <v>0</v>
      </c>
      <c r="AD26" s="8">
        <f ca="1">IFERROR(__xludf.DUMMYFUNCTION("""COMPUTED_VALUE"""),0)</f>
        <v>0</v>
      </c>
      <c r="AE26" s="8">
        <f ca="1">IFERROR(__xludf.DUMMYFUNCTION("""COMPUTED_VALUE"""),57)</f>
        <v>57</v>
      </c>
      <c r="AF26" s="8">
        <f ca="1">IFERROR(__xludf.DUMMYFUNCTION("""COMPUTED_VALUE"""),4)</f>
        <v>4</v>
      </c>
      <c r="AG26" s="8" t="str">
        <f ca="1">IFERROR(__xludf.DUMMYFUNCTION("""COMPUTED_VALUE"""),"")</f>
        <v/>
      </c>
      <c r="AH26" s="8">
        <f ca="1">IFERROR(__xludf.DUMMYFUNCTION("""COMPUTED_VALUE"""),0)</f>
        <v>0</v>
      </c>
      <c r="AI26" s="8" t="str">
        <f ca="1">IFERROR(__xludf.DUMMYFUNCTION("""COMPUTED_VALUE"""),"")</f>
        <v/>
      </c>
      <c r="AJ26" s="8" t="str">
        <f ca="1">IFERROR(__xludf.DUMMYFUNCTION("""COMPUTED_VALUE"""),"")</f>
        <v/>
      </c>
      <c r="AK26" s="8" t="str">
        <f ca="1">IFERROR(__xludf.DUMMYFUNCTION("""COMPUTED_VALUE"""),"")</f>
        <v/>
      </c>
      <c r="AL26" s="8" t="str">
        <f ca="1">IFERROR(__xludf.DUMMYFUNCTION("""COMPUTED_VALUE"""),"")</f>
        <v/>
      </c>
      <c r="AM26" s="10" t="str">
        <f ca="1">IFERROR(__xludf.DUMMYFUNCTION("""COMPUTED_VALUE"""),"")</f>
        <v/>
      </c>
    </row>
    <row r="27" spans="1:39" x14ac:dyDescent="0.2">
      <c r="A27" s="2">
        <f ca="1">IF($G27="","",IF(ISERROR(MATCH($N27,Lge_Scratch!$B:$B,0)),1,0))</f>
        <v>0</v>
      </c>
      <c r="B27" s="2">
        <f ca="1">IF($G27="","",IF(AND(LEFT($Q27,8)="Non-aero",ISERROR(MATCH($N27,Lge_NonAero!$B:$B,0))),1,0))</f>
        <v>0</v>
      </c>
      <c r="C27" s="5">
        <f ca="1">IF($G27="","",IF(AND(LEFT($O27,3)="Wom",ISERROR(MATCH($N27,Lge_Women!$B:$B,0))),1,0))</f>
        <v>0</v>
      </c>
      <c r="D27" s="2">
        <f ca="1">IF($G27="","",IF(AND(OR($O27="Vet",$O27="Woman Vet"),ISERROR(MATCH($N27,Lge_Vets!$B:$B,0))),1,0))</f>
        <v>0</v>
      </c>
      <c r="E27" s="2">
        <f ca="1">IF($G27="","",IF(AND(OR($O27="Junior",$O27="Woman Junior",$O27="Youth",$O27="Woman Youth"),ISERROR(MATCH($N27,Lge_Junior!$B:$B,0))),1,0))</f>
        <v>0</v>
      </c>
      <c r="F27" s="2">
        <f ca="1">IF($G27="","",IF(AND(LEFT($O27,3)="You",ISERROR(MATCH($N27,Lge_Youth!$B:$B,0))),1,0))</f>
        <v>0</v>
      </c>
      <c r="G27" s="3" t="str">
        <f ca="1">IFERROR(__xludf.DUMMYFUNCTION("""COMPUTED_VALUE"""),"45829_Saturday League_7")</f>
        <v>45829_Saturday League_7</v>
      </c>
      <c r="H27" s="3" t="str">
        <f ca="1">IFERROR(__xludf.DUMMYFUNCTION("""COMPUTED_VALUE"""),"45829_Saturday League_7_8")</f>
        <v>45829_Saturday League_7_8</v>
      </c>
      <c r="I27" s="3">
        <f ca="1">IFERROR(__xludf.DUMMYFUNCTION("""COMPUTED_VALUE"""),13)</f>
        <v>13</v>
      </c>
      <c r="J27" s="3" t="str">
        <f ca="1">IFERROR(__xludf.DUMMYFUNCTION("""COMPUTED_VALUE"""),"Saturday League")</f>
        <v>Saturday League</v>
      </c>
      <c r="K27" s="6">
        <f ca="1">IFERROR(__xludf.DUMMYFUNCTION("""COMPUTED_VALUE"""),45829)</f>
        <v>45829</v>
      </c>
      <c r="L27" s="4">
        <f ca="1">IFERROR(__xludf.DUMMYFUNCTION("""COMPUTED_VALUE"""),7)</f>
        <v>7</v>
      </c>
      <c r="M27" s="4">
        <f ca="1">IFERROR(__xludf.DUMMYFUNCTION("""COMPUTED_VALUE"""),8)</f>
        <v>8</v>
      </c>
      <c r="N27" s="8" t="str">
        <f ca="1">IFERROR(__xludf.DUMMYFUNCTION("""COMPUTED_VALUE"""),"Tony Gowers")</f>
        <v>Tony Gowers</v>
      </c>
      <c r="O27" s="8" t="str">
        <f ca="1">IFERROR(__xludf.DUMMYFUNCTION("""COMPUTED_VALUE"""),"Vet")</f>
        <v>Vet</v>
      </c>
      <c r="P27" s="9">
        <f ca="1">IFERROR(__xludf.DUMMYFUNCTION("""COMPUTED_VALUE"""),0.0149189814814814)</f>
        <v>1.4918981481481399E-2</v>
      </c>
      <c r="Q27" s="8" t="str">
        <f ca="1">IFERROR(__xludf.DUMMYFUNCTION("""COMPUTED_VALUE"""),"Non-aero")</f>
        <v>Non-aero</v>
      </c>
      <c r="R27" s="8">
        <f ca="1">IFERROR(__xludf.DUMMYFUNCTION("""COMPUTED_VALUE"""),53)</f>
        <v>53</v>
      </c>
      <c r="S27" s="9"/>
      <c r="T27" s="8"/>
      <c r="U27" s="8">
        <f ca="1">IFERROR(__xludf.DUMMYFUNCTION("""COMPUTED_VALUE"""),60)</f>
        <v>60</v>
      </c>
      <c r="V27" s="9">
        <f ca="1">IFERROR(__xludf.DUMMYFUNCTION("""COMPUTED_VALUE"""),0.0135335648148148)</f>
        <v>1.35335648148148E-2</v>
      </c>
      <c r="W27" s="8">
        <f ca="1">IFERROR(__xludf.DUMMYFUNCTION("""COMPUTED_VALUE"""),8)</f>
        <v>8</v>
      </c>
      <c r="X27" s="8">
        <f ca="1">IFERROR(__xludf.DUMMYFUNCTION("""COMPUTED_VALUE"""),53)</f>
        <v>53</v>
      </c>
      <c r="Y27" s="8">
        <f ca="1">IFERROR(__xludf.DUMMYFUNCTION("""COMPUTED_VALUE"""),0)</f>
        <v>0</v>
      </c>
      <c r="Z27" s="8">
        <f ca="1">IFERROR(__xludf.DUMMYFUNCTION("""COMPUTED_VALUE"""),0)</f>
        <v>0</v>
      </c>
      <c r="AA27" s="8">
        <f ca="1">IFERROR(__xludf.DUMMYFUNCTION("""COMPUTED_VALUE"""),0)</f>
        <v>0</v>
      </c>
      <c r="AB27" s="8">
        <f ca="1">IFERROR(__xludf.DUMMYFUNCTION("""COMPUTED_VALUE"""),0)</f>
        <v>0</v>
      </c>
      <c r="AC27" s="8">
        <f ca="1">IFERROR(__xludf.DUMMYFUNCTION("""COMPUTED_VALUE"""),0)</f>
        <v>0</v>
      </c>
      <c r="AD27" s="8">
        <f ca="1">IFERROR(__xludf.DUMMYFUNCTION("""COMPUTED_VALUE"""),0)</f>
        <v>0</v>
      </c>
      <c r="AE27" s="8">
        <f ca="1">IFERROR(__xludf.DUMMYFUNCTION("""COMPUTED_VALUE"""),56)</f>
        <v>56</v>
      </c>
      <c r="AF27" s="8">
        <f ca="1">IFERROR(__xludf.DUMMYFUNCTION("""COMPUTED_VALUE"""),5)</f>
        <v>5</v>
      </c>
      <c r="AG27" s="8" t="str">
        <f ca="1">IFERROR(__xludf.DUMMYFUNCTION("""COMPUTED_VALUE"""),"")</f>
        <v/>
      </c>
      <c r="AH27" s="8">
        <f ca="1">IFERROR(__xludf.DUMMYFUNCTION("""COMPUTED_VALUE"""),0)</f>
        <v>0</v>
      </c>
      <c r="AI27" s="8" t="str">
        <f ca="1">IFERROR(__xludf.DUMMYFUNCTION("""COMPUTED_VALUE"""),"")</f>
        <v/>
      </c>
      <c r="AJ27" s="8" t="str">
        <f ca="1">IFERROR(__xludf.DUMMYFUNCTION("""COMPUTED_VALUE"""),"")</f>
        <v/>
      </c>
      <c r="AK27" s="8" t="str">
        <f ca="1">IFERROR(__xludf.DUMMYFUNCTION("""COMPUTED_VALUE"""),"")</f>
        <v/>
      </c>
      <c r="AL27" s="8" t="str">
        <f ca="1">IFERROR(__xludf.DUMMYFUNCTION("""COMPUTED_VALUE"""),"")</f>
        <v/>
      </c>
      <c r="AM27" s="10" t="str">
        <f ca="1">IFERROR(__xludf.DUMMYFUNCTION("""COMPUTED_VALUE"""),"")</f>
        <v/>
      </c>
    </row>
    <row r="28" spans="1:39" x14ac:dyDescent="0.2">
      <c r="A28" s="2">
        <f ca="1">IF($G28="","",IF(ISERROR(MATCH($N28,Lge_Scratch!$B:$B,0)),1,0))</f>
        <v>0</v>
      </c>
      <c r="B28" s="2">
        <f ca="1">IF($G28="","",IF(AND(LEFT($Q28,8)="Non-aero",ISERROR(MATCH($N28,Lge_NonAero!$B:$B,0))),1,0))</f>
        <v>0</v>
      </c>
      <c r="C28" s="5">
        <f ca="1">IF($G28="","",IF(AND(LEFT($O28,3)="Wom",ISERROR(MATCH($N28,Lge_Women!$B:$B,0))),1,0))</f>
        <v>0</v>
      </c>
      <c r="D28" s="2">
        <f ca="1">IF($G28="","",IF(AND(OR($O28="Vet",$O28="Woman Vet"),ISERROR(MATCH($N28,Lge_Vets!$B:$B,0))),1,0))</f>
        <v>0</v>
      </c>
      <c r="E28" s="2">
        <f ca="1">IF($G28="","",IF(AND(OR($O28="Junior",$O28="Woman Junior",$O28="Youth",$O28="Woman Youth"),ISERROR(MATCH($N28,Lge_Junior!$B:$B,0))),1,0))</f>
        <v>0</v>
      </c>
      <c r="F28" s="2">
        <f ca="1">IF($G28="","",IF(AND(LEFT($O28,3)="You",ISERROR(MATCH($N28,Lge_Youth!$B:$B,0))),1,0))</f>
        <v>0</v>
      </c>
      <c r="G28" s="3" t="str">
        <f ca="1">IFERROR(__xludf.DUMMYFUNCTION("""COMPUTED_VALUE"""),"45829_Saturday League_7")</f>
        <v>45829_Saturday League_7</v>
      </c>
      <c r="H28" s="3" t="str">
        <f ca="1">IFERROR(__xludf.DUMMYFUNCTION("""COMPUTED_VALUE"""),"45829_Saturday League_7_9")</f>
        <v>45829_Saturday League_7_9</v>
      </c>
      <c r="I28" s="3">
        <f ca="1">IFERROR(__xludf.DUMMYFUNCTION("""COMPUTED_VALUE"""),13)</f>
        <v>13</v>
      </c>
      <c r="J28" s="3" t="str">
        <f ca="1">IFERROR(__xludf.DUMMYFUNCTION("""COMPUTED_VALUE"""),"Saturday League")</f>
        <v>Saturday League</v>
      </c>
      <c r="K28" s="6">
        <f ca="1">IFERROR(__xludf.DUMMYFUNCTION("""COMPUTED_VALUE"""),45829)</f>
        <v>45829</v>
      </c>
      <c r="L28" s="4">
        <f ca="1">IFERROR(__xludf.DUMMYFUNCTION("""COMPUTED_VALUE"""),7)</f>
        <v>7</v>
      </c>
      <c r="M28" s="4">
        <f ca="1">IFERROR(__xludf.DUMMYFUNCTION("""COMPUTED_VALUE"""),9)</f>
        <v>9</v>
      </c>
      <c r="N28" s="8" t="str">
        <f ca="1">IFERROR(__xludf.DUMMYFUNCTION("""COMPUTED_VALUE"""),"Simon Smith")</f>
        <v>Simon Smith</v>
      </c>
      <c r="O28" s="8" t="str">
        <f ca="1">IFERROR(__xludf.DUMMYFUNCTION("""COMPUTED_VALUE"""),"Vet")</f>
        <v>Vet</v>
      </c>
      <c r="P28" s="9">
        <f ca="1">IFERROR(__xludf.DUMMYFUNCTION("""COMPUTED_VALUE"""),0.0151736111111111)</f>
        <v>1.51736111111111E-2</v>
      </c>
      <c r="Q28" s="8" t="str">
        <f ca="1">IFERROR(__xludf.DUMMYFUNCTION("""COMPUTED_VALUE"""),"Non-aero")</f>
        <v>Non-aero</v>
      </c>
      <c r="R28" s="8">
        <f ca="1">IFERROR(__xludf.DUMMYFUNCTION("""COMPUTED_VALUE"""),52)</f>
        <v>52</v>
      </c>
      <c r="S28" s="9"/>
      <c r="T28" s="8"/>
      <c r="U28" s="8">
        <f ca="1">IFERROR(__xludf.DUMMYFUNCTION("""COMPUTED_VALUE"""),60)</f>
        <v>60</v>
      </c>
      <c r="V28" s="9">
        <f ca="1">IFERROR(__xludf.DUMMYFUNCTION("""COMPUTED_VALUE"""),0.0140393518518518)</f>
        <v>1.4039351851851799E-2</v>
      </c>
      <c r="W28" s="8">
        <f ca="1">IFERROR(__xludf.DUMMYFUNCTION("""COMPUTED_VALUE"""),9)</f>
        <v>9</v>
      </c>
      <c r="X28" s="8">
        <f ca="1">IFERROR(__xludf.DUMMYFUNCTION("""COMPUTED_VALUE"""),52)</f>
        <v>52</v>
      </c>
      <c r="Y28" s="8">
        <f ca="1">IFERROR(__xludf.DUMMYFUNCTION("""COMPUTED_VALUE"""),0)</f>
        <v>0</v>
      </c>
      <c r="Z28" s="8">
        <f ca="1">IFERROR(__xludf.DUMMYFUNCTION("""COMPUTED_VALUE"""),0)</f>
        <v>0</v>
      </c>
      <c r="AA28" s="8">
        <f ca="1">IFERROR(__xludf.DUMMYFUNCTION("""COMPUTED_VALUE"""),0)</f>
        <v>0</v>
      </c>
      <c r="AB28" s="8">
        <f ca="1">IFERROR(__xludf.DUMMYFUNCTION("""COMPUTED_VALUE"""),0)</f>
        <v>0</v>
      </c>
      <c r="AC28" s="8">
        <f ca="1">IFERROR(__xludf.DUMMYFUNCTION("""COMPUTED_VALUE"""),0)</f>
        <v>0</v>
      </c>
      <c r="AD28" s="8">
        <f ca="1">IFERROR(__xludf.DUMMYFUNCTION("""COMPUTED_VALUE"""),0)</f>
        <v>0</v>
      </c>
      <c r="AE28" s="8">
        <f ca="1">IFERROR(__xludf.DUMMYFUNCTION("""COMPUTED_VALUE"""),55)</f>
        <v>55</v>
      </c>
      <c r="AF28" s="8">
        <f ca="1">IFERROR(__xludf.DUMMYFUNCTION("""COMPUTED_VALUE"""),6)</f>
        <v>6</v>
      </c>
      <c r="AG28" s="8" t="str">
        <f ca="1">IFERROR(__xludf.DUMMYFUNCTION("""COMPUTED_VALUE"""),"")</f>
        <v/>
      </c>
      <c r="AH28" s="8">
        <f ca="1">IFERROR(__xludf.DUMMYFUNCTION("""COMPUTED_VALUE"""),0)</f>
        <v>0</v>
      </c>
      <c r="AI28" s="8" t="str">
        <f ca="1">IFERROR(__xludf.DUMMYFUNCTION("""COMPUTED_VALUE"""),"")</f>
        <v/>
      </c>
      <c r="AJ28" s="8" t="str">
        <f ca="1">IFERROR(__xludf.DUMMYFUNCTION("""COMPUTED_VALUE"""),"")</f>
        <v/>
      </c>
      <c r="AK28" s="8" t="str">
        <f ca="1">IFERROR(__xludf.DUMMYFUNCTION("""COMPUTED_VALUE"""),"")</f>
        <v/>
      </c>
      <c r="AL28" s="8" t="str">
        <f ca="1">IFERROR(__xludf.DUMMYFUNCTION("""COMPUTED_VALUE"""),"")</f>
        <v/>
      </c>
      <c r="AM28" s="10" t="str">
        <f ca="1">IFERROR(__xludf.DUMMYFUNCTION("""COMPUTED_VALUE"""),"")</f>
        <v/>
      </c>
    </row>
    <row r="29" spans="1:39" x14ac:dyDescent="0.2">
      <c r="A29" s="2">
        <f ca="1">IF($G29="","",IF(ISERROR(MATCH($N29,Lge_Scratch!$B:$B,0)),1,0))</f>
        <v>0</v>
      </c>
      <c r="B29" s="2">
        <f ca="1">IF($G29="","",IF(AND(LEFT($Q29,8)="Non-aero",ISERROR(MATCH($N29,Lge_NonAero!$B:$B,0))),1,0))</f>
        <v>0</v>
      </c>
      <c r="C29" s="5">
        <f ca="1">IF($G29="","",IF(AND(LEFT($O29,3)="Wom",ISERROR(MATCH($N29,Lge_Women!$B:$B,0))),1,0))</f>
        <v>0</v>
      </c>
      <c r="D29" s="2">
        <f ca="1">IF($G29="","",IF(AND(OR($O29="Vet",$O29="Woman Vet"),ISERROR(MATCH($N29,Lge_Vets!$B:$B,0))),1,0))</f>
        <v>0</v>
      </c>
      <c r="E29" s="2">
        <f ca="1">IF($G29="","",IF(AND(OR($O29="Junior",$O29="Woman Junior",$O29="Youth",$O29="Woman Youth"),ISERROR(MATCH($N29,Lge_Junior!$B:$B,0))),1,0))</f>
        <v>0</v>
      </c>
      <c r="F29" s="2">
        <f ca="1">IF($G29="","",IF(AND(LEFT($O29,3)="You",ISERROR(MATCH($N29,Lge_Youth!$B:$B,0))),1,0))</f>
        <v>0</v>
      </c>
      <c r="G29" s="3" t="str">
        <f ca="1">IFERROR(__xludf.DUMMYFUNCTION("""COMPUTED_VALUE"""),"45829_Saturday League_7")</f>
        <v>45829_Saturday League_7</v>
      </c>
      <c r="H29" s="3" t="str">
        <f ca="1">IFERROR(__xludf.DUMMYFUNCTION("""COMPUTED_VALUE"""),"45829_Saturday League_7_10")</f>
        <v>45829_Saturday League_7_10</v>
      </c>
      <c r="I29" s="3">
        <f ca="1">IFERROR(__xludf.DUMMYFUNCTION("""COMPUTED_VALUE"""),13)</f>
        <v>13</v>
      </c>
      <c r="J29" s="3" t="str">
        <f ca="1">IFERROR(__xludf.DUMMYFUNCTION("""COMPUTED_VALUE"""),"Saturday League")</f>
        <v>Saturday League</v>
      </c>
      <c r="K29" s="6">
        <f ca="1">IFERROR(__xludf.DUMMYFUNCTION("""COMPUTED_VALUE"""),45829)</f>
        <v>45829</v>
      </c>
      <c r="L29" s="4">
        <f ca="1">IFERROR(__xludf.DUMMYFUNCTION("""COMPUTED_VALUE"""),7)</f>
        <v>7</v>
      </c>
      <c r="M29" s="4">
        <f ca="1">IFERROR(__xludf.DUMMYFUNCTION("""COMPUTED_VALUE"""),10)</f>
        <v>10</v>
      </c>
      <c r="N29" s="8" t="str">
        <f ca="1">IFERROR(__xludf.DUMMYFUNCTION("""COMPUTED_VALUE"""),"Chris Smith")</f>
        <v>Chris Smith</v>
      </c>
      <c r="O29" s="8" t="str">
        <f ca="1">IFERROR(__xludf.DUMMYFUNCTION("""COMPUTED_VALUE"""),"Vet")</f>
        <v>Vet</v>
      </c>
      <c r="P29" s="9">
        <f ca="1">IFERROR(__xludf.DUMMYFUNCTION("""COMPUTED_VALUE"""),0.0156712962962962)</f>
        <v>1.5671296296296201E-2</v>
      </c>
      <c r="Q29" s="8" t="str">
        <f ca="1">IFERROR(__xludf.DUMMYFUNCTION("""COMPUTED_VALUE"""),"Non-aero")</f>
        <v>Non-aero</v>
      </c>
      <c r="R29" s="8">
        <f ca="1">IFERROR(__xludf.DUMMYFUNCTION("""COMPUTED_VALUE"""),51)</f>
        <v>51</v>
      </c>
      <c r="S29" s="9"/>
      <c r="T29" s="8"/>
      <c r="U29" s="8">
        <f ca="1">IFERROR(__xludf.DUMMYFUNCTION("""COMPUTED_VALUE"""),60)</f>
        <v>60</v>
      </c>
      <c r="V29" s="9">
        <f ca="1">IFERROR(__xludf.DUMMYFUNCTION("""COMPUTED_VALUE"""),0.0146909722222222)</f>
        <v>1.4690972222222201E-2</v>
      </c>
      <c r="W29" s="8">
        <f ca="1">IFERROR(__xludf.DUMMYFUNCTION("""COMPUTED_VALUE"""),10)</f>
        <v>10</v>
      </c>
      <c r="X29" s="8">
        <f ca="1">IFERROR(__xludf.DUMMYFUNCTION("""COMPUTED_VALUE"""),51)</f>
        <v>51</v>
      </c>
      <c r="Y29" s="8">
        <f ca="1">IFERROR(__xludf.DUMMYFUNCTION("""COMPUTED_VALUE"""),0)</f>
        <v>0</v>
      </c>
      <c r="Z29" s="8">
        <f ca="1">IFERROR(__xludf.DUMMYFUNCTION("""COMPUTED_VALUE"""),0)</f>
        <v>0</v>
      </c>
      <c r="AA29" s="8">
        <f ca="1">IFERROR(__xludf.DUMMYFUNCTION("""COMPUTED_VALUE"""),0)</f>
        <v>0</v>
      </c>
      <c r="AB29" s="8">
        <f ca="1">IFERROR(__xludf.DUMMYFUNCTION("""COMPUTED_VALUE"""),0)</f>
        <v>0</v>
      </c>
      <c r="AC29" s="8">
        <f ca="1">IFERROR(__xludf.DUMMYFUNCTION("""COMPUTED_VALUE"""),0)</f>
        <v>0</v>
      </c>
      <c r="AD29" s="8">
        <f ca="1">IFERROR(__xludf.DUMMYFUNCTION("""COMPUTED_VALUE"""),0)</f>
        <v>0</v>
      </c>
      <c r="AE29" s="8">
        <f ca="1">IFERROR(__xludf.DUMMYFUNCTION("""COMPUTED_VALUE"""),54)</f>
        <v>54</v>
      </c>
      <c r="AF29" s="8">
        <f ca="1">IFERROR(__xludf.DUMMYFUNCTION("""COMPUTED_VALUE"""),7)</f>
        <v>7</v>
      </c>
      <c r="AG29" s="8" t="str">
        <f ca="1">IFERROR(__xludf.DUMMYFUNCTION("""COMPUTED_VALUE"""),"")</f>
        <v/>
      </c>
      <c r="AH29" s="8">
        <f ca="1">IFERROR(__xludf.DUMMYFUNCTION("""COMPUTED_VALUE"""),0)</f>
        <v>0</v>
      </c>
      <c r="AI29" s="8" t="str">
        <f ca="1">IFERROR(__xludf.DUMMYFUNCTION("""COMPUTED_VALUE"""),"")</f>
        <v/>
      </c>
      <c r="AJ29" s="8" t="str">
        <f ca="1">IFERROR(__xludf.DUMMYFUNCTION("""COMPUTED_VALUE"""),"")</f>
        <v/>
      </c>
      <c r="AK29" s="8" t="str">
        <f ca="1">IFERROR(__xludf.DUMMYFUNCTION("""COMPUTED_VALUE"""),"")</f>
        <v/>
      </c>
      <c r="AL29" s="8" t="str">
        <f ca="1">IFERROR(__xludf.DUMMYFUNCTION("""COMPUTED_VALUE"""),"")</f>
        <v/>
      </c>
      <c r="AM29" s="10" t="str">
        <f ca="1">IFERROR(__xludf.DUMMYFUNCTION("""COMPUTED_VALUE"""),"")</f>
        <v/>
      </c>
    </row>
    <row r="30" spans="1:39" x14ac:dyDescent="0.2">
      <c r="A30" s="2">
        <f ca="1">IF($G30="","",IF(ISERROR(MATCH($N30,Lge_Scratch!$B:$B,0)),1,0))</f>
        <v>0</v>
      </c>
      <c r="B30" s="2">
        <f ca="1">IF($G30="","",IF(AND(LEFT($Q30,8)="Non-aero",ISERROR(MATCH($N30,Lge_NonAero!$B:$B,0))),1,0))</f>
        <v>0</v>
      </c>
      <c r="C30" s="5">
        <f ca="1">IF($G30="","",IF(AND(LEFT($O30,3)="Wom",ISERROR(MATCH($N30,Lge_Women!$B:$B,0))),1,0))</f>
        <v>0</v>
      </c>
      <c r="D30" s="2">
        <f ca="1">IF($G30="","",IF(AND(OR($O30="Vet",$O30="Woman Vet"),ISERROR(MATCH($N30,Lge_Vets!$B:$B,0))),1,0))</f>
        <v>0</v>
      </c>
      <c r="E30" s="2">
        <f ca="1">IF($G30="","",IF(AND(OR($O30="Junior",$O30="Woman Junior",$O30="Youth",$O30="Woman Youth"),ISERROR(MATCH($N30,Lge_Junior!$B:$B,0))),1,0))</f>
        <v>0</v>
      </c>
      <c r="F30" s="2">
        <f ca="1">IF($G30="","",IF(AND(LEFT($O30,3)="You",ISERROR(MATCH($N30,Lge_Youth!$B:$B,0))),1,0))</f>
        <v>0</v>
      </c>
      <c r="G30" s="3" t="str">
        <f ca="1">IFERROR(__xludf.DUMMYFUNCTION("""COMPUTED_VALUE"""),"45829_Saturday League_7")</f>
        <v>45829_Saturday League_7</v>
      </c>
      <c r="H30" s="3" t="str">
        <f ca="1">IFERROR(__xludf.DUMMYFUNCTION("""COMPUTED_VALUE"""),"45829_Saturday League_7_11")</f>
        <v>45829_Saturday League_7_11</v>
      </c>
      <c r="I30" s="3">
        <f ca="1">IFERROR(__xludf.DUMMYFUNCTION("""COMPUTED_VALUE"""),13)</f>
        <v>13</v>
      </c>
      <c r="J30" s="3" t="str">
        <f ca="1">IFERROR(__xludf.DUMMYFUNCTION("""COMPUTED_VALUE"""),"Saturday League")</f>
        <v>Saturday League</v>
      </c>
      <c r="K30" s="6">
        <f ca="1">IFERROR(__xludf.DUMMYFUNCTION("""COMPUTED_VALUE"""),45829)</f>
        <v>45829</v>
      </c>
      <c r="L30" s="4">
        <f ca="1">IFERROR(__xludf.DUMMYFUNCTION("""COMPUTED_VALUE"""),7)</f>
        <v>7</v>
      </c>
      <c r="M30" s="4">
        <f ca="1">IFERROR(__xludf.DUMMYFUNCTION("""COMPUTED_VALUE"""),11)</f>
        <v>11</v>
      </c>
      <c r="N30" s="8" t="str">
        <f ca="1">IFERROR(__xludf.DUMMYFUNCTION("""COMPUTED_VALUE"""),"Elaine Cotton")</f>
        <v>Elaine Cotton</v>
      </c>
      <c r="O30" s="8" t="str">
        <f ca="1">IFERROR(__xludf.DUMMYFUNCTION("""COMPUTED_VALUE"""),"Woman Vet")</f>
        <v>Woman Vet</v>
      </c>
      <c r="P30" s="9">
        <f ca="1">IFERROR(__xludf.DUMMYFUNCTION("""COMPUTED_VALUE"""),0.0169560185185185)</f>
        <v>1.6956018518518499E-2</v>
      </c>
      <c r="Q30" s="8" t="str">
        <f ca="1">IFERROR(__xludf.DUMMYFUNCTION("""COMPUTED_VALUE"""),"Non-aero")</f>
        <v>Non-aero</v>
      </c>
      <c r="R30" s="8">
        <f ca="1">IFERROR(__xludf.DUMMYFUNCTION("""COMPUTED_VALUE"""),50)</f>
        <v>50</v>
      </c>
      <c r="S30" s="9"/>
      <c r="T30" s="8"/>
      <c r="U30" s="8">
        <f ca="1">IFERROR(__xludf.DUMMYFUNCTION("""COMPUTED_VALUE"""),60)</f>
        <v>60</v>
      </c>
      <c r="V30" s="9">
        <f ca="1">IFERROR(__xludf.DUMMYFUNCTION("""COMPUTED_VALUE"""),0.0149791666666666)</f>
        <v>1.4979166666666601E-2</v>
      </c>
      <c r="W30" s="8">
        <f ca="1">IFERROR(__xludf.DUMMYFUNCTION("""COMPUTED_VALUE"""),11)</f>
        <v>11</v>
      </c>
      <c r="X30" s="8">
        <f ca="1">IFERROR(__xludf.DUMMYFUNCTION("""COMPUTED_VALUE"""),50)</f>
        <v>50</v>
      </c>
      <c r="Y30" s="8">
        <f ca="1">IFERROR(__xludf.DUMMYFUNCTION("""COMPUTED_VALUE"""),1)</f>
        <v>1</v>
      </c>
      <c r="Z30" s="8">
        <f ca="1">IFERROR(__xludf.DUMMYFUNCTION("""COMPUTED_VALUE"""),60)</f>
        <v>60</v>
      </c>
      <c r="AA30" s="8">
        <f ca="1">IFERROR(__xludf.DUMMYFUNCTION("""COMPUTED_VALUE"""),0)</f>
        <v>0</v>
      </c>
      <c r="AB30" s="8">
        <f ca="1">IFERROR(__xludf.DUMMYFUNCTION("""COMPUTED_VALUE"""),0)</f>
        <v>0</v>
      </c>
      <c r="AC30" s="8">
        <f ca="1">IFERROR(__xludf.DUMMYFUNCTION("""COMPUTED_VALUE"""),0)</f>
        <v>0</v>
      </c>
      <c r="AD30" s="8">
        <f ca="1">IFERROR(__xludf.DUMMYFUNCTION("""COMPUTED_VALUE"""),0)</f>
        <v>0</v>
      </c>
      <c r="AE30" s="8">
        <f ca="1">IFERROR(__xludf.DUMMYFUNCTION("""COMPUTED_VALUE"""),53)</f>
        <v>53</v>
      </c>
      <c r="AF30" s="8">
        <f ca="1">IFERROR(__xludf.DUMMYFUNCTION("""COMPUTED_VALUE"""),8)</f>
        <v>8</v>
      </c>
      <c r="AG30" s="8" t="str">
        <f ca="1">IFERROR(__xludf.DUMMYFUNCTION("""COMPUTED_VALUE"""),"")</f>
        <v/>
      </c>
      <c r="AH30" s="8">
        <f ca="1">IFERROR(__xludf.DUMMYFUNCTION("""COMPUTED_VALUE"""),0)</f>
        <v>0</v>
      </c>
      <c r="AI30" s="8" t="str">
        <f ca="1">IFERROR(__xludf.DUMMYFUNCTION("""COMPUTED_VALUE"""),"")</f>
        <v/>
      </c>
      <c r="AJ30" s="8" t="str">
        <f ca="1">IFERROR(__xludf.DUMMYFUNCTION("""COMPUTED_VALUE"""),"")</f>
        <v/>
      </c>
      <c r="AK30" s="8" t="str">
        <f ca="1">IFERROR(__xludf.DUMMYFUNCTION("""COMPUTED_VALUE"""),"")</f>
        <v/>
      </c>
      <c r="AL30" s="8" t="str">
        <f ca="1">IFERROR(__xludf.DUMMYFUNCTION("""COMPUTED_VALUE"""),"")</f>
        <v/>
      </c>
      <c r="AM30" s="10" t="str">
        <f ca="1">IFERROR(__xludf.DUMMYFUNCTION("""COMPUTED_VALUE"""),"")</f>
        <v/>
      </c>
    </row>
    <row r="31" spans="1:39" x14ac:dyDescent="0.2">
      <c r="A31" s="2">
        <f ca="1">IF($G31="","",IF(ISERROR(MATCH($N31,Lge_Scratch!$B:$B,0)),1,0))</f>
        <v>0</v>
      </c>
      <c r="B31" s="2">
        <f ca="1">IF($G31="","",IF(AND(LEFT($Q31,8)="Non-aero",ISERROR(MATCH($N31,Lge_NonAero!$B:$B,0))),1,0))</f>
        <v>0</v>
      </c>
      <c r="C31" s="5">
        <f ca="1">IF($G31="","",IF(AND(LEFT($O31,3)="Wom",ISERROR(MATCH($N31,Lge_Women!$B:$B,0))),1,0))</f>
        <v>0</v>
      </c>
      <c r="D31" s="2">
        <f ca="1">IF($G31="","",IF(AND(OR($O31="Vet",$O31="Woman Vet"),ISERROR(MATCH($N31,Lge_Vets!$B:$B,0))),1,0))</f>
        <v>0</v>
      </c>
      <c r="E31" s="2">
        <f ca="1">IF($G31="","",IF(AND(OR($O31="Junior",$O31="Woman Junior",$O31="Youth",$O31="Woman Youth"),ISERROR(MATCH($N31,Lge_Junior!$B:$B,0))),1,0))</f>
        <v>0</v>
      </c>
      <c r="F31" s="2">
        <f ca="1">IF($G31="","",IF(AND(LEFT($O31,3)="You",ISERROR(MATCH($N31,Lge_Youth!$B:$B,0))),1,0))</f>
        <v>0</v>
      </c>
      <c r="G31" s="3" t="str">
        <f ca="1">IFERROR(__xludf.DUMMYFUNCTION("""COMPUTED_VALUE"""),"45829_Saturday League_7")</f>
        <v>45829_Saturday League_7</v>
      </c>
      <c r="H31" s="3" t="str">
        <f ca="1">IFERROR(__xludf.DUMMYFUNCTION("""COMPUTED_VALUE"""),"45829_Saturday League_7_12")</f>
        <v>45829_Saturday League_7_12</v>
      </c>
      <c r="I31" s="3">
        <f ca="1">IFERROR(__xludf.DUMMYFUNCTION("""COMPUTED_VALUE"""),13)</f>
        <v>13</v>
      </c>
      <c r="J31" s="3" t="str">
        <f ca="1">IFERROR(__xludf.DUMMYFUNCTION("""COMPUTED_VALUE"""),"Saturday League")</f>
        <v>Saturday League</v>
      </c>
      <c r="K31" s="6">
        <f ca="1">IFERROR(__xludf.DUMMYFUNCTION("""COMPUTED_VALUE"""),45829)</f>
        <v>45829</v>
      </c>
      <c r="L31" s="4">
        <f ca="1">IFERROR(__xludf.DUMMYFUNCTION("""COMPUTED_VALUE"""),7)</f>
        <v>7</v>
      </c>
      <c r="M31" s="4">
        <f ca="1">IFERROR(__xludf.DUMMYFUNCTION("""COMPUTED_VALUE"""),12)</f>
        <v>12</v>
      </c>
      <c r="N31" s="8" t="str">
        <f ca="1">IFERROR(__xludf.DUMMYFUNCTION("""COMPUTED_VALUE"""),"Lauren Ashby")</f>
        <v>Lauren Ashby</v>
      </c>
      <c r="O31" s="8" t="str">
        <f ca="1">IFERROR(__xludf.DUMMYFUNCTION("""COMPUTED_VALUE"""),"Woman Vet")</f>
        <v>Woman Vet</v>
      </c>
      <c r="P31" s="9">
        <f ca="1">IFERROR(__xludf.DUMMYFUNCTION("""COMPUTED_VALUE"""),0.017511574074074)</f>
        <v>1.7511574074073999E-2</v>
      </c>
      <c r="Q31" s="8" t="str">
        <f ca="1">IFERROR(__xludf.DUMMYFUNCTION("""COMPUTED_VALUE"""),"Non-aero First TT")</f>
        <v>Non-aero First TT</v>
      </c>
      <c r="R31" s="8">
        <f ca="1">IFERROR(__xludf.DUMMYFUNCTION("""COMPUTED_VALUE"""),49)</f>
        <v>49</v>
      </c>
      <c r="S31" s="9"/>
      <c r="T31" s="8"/>
      <c r="U31" s="8">
        <f ca="1">IFERROR(__xludf.DUMMYFUNCTION("""COMPUTED_VALUE"""),60)</f>
        <v>60</v>
      </c>
      <c r="V31" s="9">
        <f ca="1">IFERROR(__xludf.DUMMYFUNCTION("""COMPUTED_VALUE"""),0.0162395833333333)</f>
        <v>1.62395833333333E-2</v>
      </c>
      <c r="W31" s="8">
        <f ca="1">IFERROR(__xludf.DUMMYFUNCTION("""COMPUTED_VALUE"""),12)</f>
        <v>12</v>
      </c>
      <c r="X31" s="8">
        <f ca="1">IFERROR(__xludf.DUMMYFUNCTION("""COMPUTED_VALUE"""),49)</f>
        <v>49</v>
      </c>
      <c r="Y31" s="8">
        <f ca="1">IFERROR(__xludf.DUMMYFUNCTION("""COMPUTED_VALUE"""),2)</f>
        <v>2</v>
      </c>
      <c r="Z31" s="8">
        <f ca="1">IFERROR(__xludf.DUMMYFUNCTION("""COMPUTED_VALUE"""),59)</f>
        <v>59</v>
      </c>
      <c r="AA31" s="8">
        <f ca="1">IFERROR(__xludf.DUMMYFUNCTION("""COMPUTED_VALUE"""),0)</f>
        <v>0</v>
      </c>
      <c r="AB31" s="8">
        <f ca="1">IFERROR(__xludf.DUMMYFUNCTION("""COMPUTED_VALUE"""),0)</f>
        <v>0</v>
      </c>
      <c r="AC31" s="8">
        <f ca="1">IFERROR(__xludf.DUMMYFUNCTION("""COMPUTED_VALUE"""),0)</f>
        <v>0</v>
      </c>
      <c r="AD31" s="8">
        <f ca="1">IFERROR(__xludf.DUMMYFUNCTION("""COMPUTED_VALUE"""),0)</f>
        <v>0</v>
      </c>
      <c r="AE31" s="8">
        <f ca="1">IFERROR(__xludf.DUMMYFUNCTION("""COMPUTED_VALUE"""),52)</f>
        <v>52</v>
      </c>
      <c r="AF31" s="8">
        <f ca="1">IFERROR(__xludf.DUMMYFUNCTION("""COMPUTED_VALUE"""),9)</f>
        <v>9</v>
      </c>
      <c r="AG31" s="8" t="str">
        <f ca="1">IFERROR(__xludf.DUMMYFUNCTION("""COMPUTED_VALUE"""),"")</f>
        <v/>
      </c>
      <c r="AH31" s="8">
        <f ca="1">IFERROR(__xludf.DUMMYFUNCTION("""COMPUTED_VALUE"""),0)</f>
        <v>0</v>
      </c>
      <c r="AI31" s="8" t="str">
        <f ca="1">IFERROR(__xludf.DUMMYFUNCTION("""COMPUTED_VALUE"""),"First TT")</f>
        <v>First TT</v>
      </c>
      <c r="AJ31" s="8" t="str">
        <f ca="1">IFERROR(__xludf.DUMMYFUNCTION("""COMPUTED_VALUE"""),"")</f>
        <v/>
      </c>
      <c r="AK31" s="8" t="str">
        <f ca="1">IFERROR(__xludf.DUMMYFUNCTION("""COMPUTED_VALUE"""),"")</f>
        <v/>
      </c>
      <c r="AL31" s="8" t="str">
        <f ca="1">IFERROR(__xludf.DUMMYFUNCTION("""COMPUTED_VALUE"""),"")</f>
        <v/>
      </c>
      <c r="AM31" s="10" t="str">
        <f ca="1">IFERROR(__xludf.DUMMYFUNCTION("""COMPUTED_VALUE"""),"")</f>
        <v/>
      </c>
    </row>
    <row r="32" spans="1:39" x14ac:dyDescent="0.2">
      <c r="A32" s="2">
        <f ca="1">IF($G32="","",IF(ISERROR(MATCH($N32,Lge_Scratch!$B:$B,0)),1,0))</f>
        <v>0</v>
      </c>
      <c r="B32" s="2">
        <f ca="1">IF($G32="","",IF(AND(LEFT($Q32,8)="Non-aero",ISERROR(MATCH($N32,Lge_NonAero!$B:$B,0))),1,0))</f>
        <v>0</v>
      </c>
      <c r="C32" s="5">
        <f ca="1">IF($G32="","",IF(AND(LEFT($O32,3)="Wom",ISERROR(MATCH($N32,Lge_Women!$B:$B,0))),1,0))</f>
        <v>0</v>
      </c>
      <c r="D32" s="2">
        <f ca="1">IF($G32="","",IF(AND(OR($O32="Vet",$O32="Woman Vet"),ISERROR(MATCH($N32,Lge_Vets!$B:$B,0))),1,0))</f>
        <v>0</v>
      </c>
      <c r="E32" s="2">
        <f ca="1">IF($G32="","",IF(AND(OR($O32="Junior",$O32="Woman Junior",$O32="Youth",$O32="Woman Youth"),ISERROR(MATCH($N32,Lge_Junior!$B:$B,0))),1,0))</f>
        <v>0</v>
      </c>
      <c r="F32" s="2">
        <f ca="1">IF($G32="","",IF(AND(LEFT($O32,3)="You",ISERROR(MATCH($N32,Lge_Youth!$B:$B,0))),1,0))</f>
        <v>0</v>
      </c>
      <c r="G32" s="3" t="str">
        <f ca="1">IFERROR(__xludf.DUMMYFUNCTION("""COMPUTED_VALUE"""),"45829_Saturday League_7")</f>
        <v>45829_Saturday League_7</v>
      </c>
      <c r="H32" s="3" t="str">
        <f ca="1">IFERROR(__xludf.DUMMYFUNCTION("""COMPUTED_VALUE"""),"45829_Saturday League_7_13")</f>
        <v>45829_Saturday League_7_13</v>
      </c>
      <c r="I32" s="3">
        <f ca="1">IFERROR(__xludf.DUMMYFUNCTION("""COMPUTED_VALUE"""),13)</f>
        <v>13</v>
      </c>
      <c r="J32" s="3" t="str">
        <f ca="1">IFERROR(__xludf.DUMMYFUNCTION("""COMPUTED_VALUE"""),"Saturday League")</f>
        <v>Saturday League</v>
      </c>
      <c r="K32" s="6">
        <f ca="1">IFERROR(__xludf.DUMMYFUNCTION("""COMPUTED_VALUE"""),45829)</f>
        <v>45829</v>
      </c>
      <c r="L32" s="4">
        <f ca="1">IFERROR(__xludf.DUMMYFUNCTION("""COMPUTED_VALUE"""),7)</f>
        <v>7</v>
      </c>
      <c r="M32" s="4">
        <f ca="1">IFERROR(__xludf.DUMMYFUNCTION("""COMPUTED_VALUE"""),13)</f>
        <v>13</v>
      </c>
      <c r="N32" s="8" t="str">
        <f ca="1">IFERROR(__xludf.DUMMYFUNCTION("""COMPUTED_VALUE"""),"Lloyd Simpson")</f>
        <v>Lloyd Simpson</v>
      </c>
      <c r="O32" s="8" t="str">
        <f ca="1">IFERROR(__xludf.DUMMYFUNCTION("""COMPUTED_VALUE"""),"Vet")</f>
        <v>Vet</v>
      </c>
      <c r="P32" s="9">
        <f ca="1">IFERROR(__xludf.DUMMYFUNCTION("""COMPUTED_VALUE"""),0.0186342592592592)</f>
        <v>1.8634259259259201E-2</v>
      </c>
      <c r="Q32" s="8" t="str">
        <f ca="1">IFERROR(__xludf.DUMMYFUNCTION("""COMPUTED_VALUE"""),"Non-aero PB")</f>
        <v>Non-aero PB</v>
      </c>
      <c r="R32" s="8">
        <f ca="1">IFERROR(__xludf.DUMMYFUNCTION("""COMPUTED_VALUE"""),48)</f>
        <v>48</v>
      </c>
      <c r="S32" s="9"/>
      <c r="T32" s="8"/>
      <c r="U32" s="8">
        <f ca="1">IFERROR(__xludf.DUMMYFUNCTION("""COMPUTED_VALUE"""),60)</f>
        <v>60</v>
      </c>
      <c r="V32" s="9">
        <f ca="1">IFERROR(__xludf.DUMMYFUNCTION("""COMPUTED_VALUE"""),0.0182534722222222)</f>
        <v>1.8253472222222199E-2</v>
      </c>
      <c r="W32" s="8">
        <f ca="1">IFERROR(__xludf.DUMMYFUNCTION("""COMPUTED_VALUE"""),13)</f>
        <v>13</v>
      </c>
      <c r="X32" s="8">
        <f ca="1">IFERROR(__xludf.DUMMYFUNCTION("""COMPUTED_VALUE"""),48)</f>
        <v>48</v>
      </c>
      <c r="Y32" s="8">
        <f ca="1">IFERROR(__xludf.DUMMYFUNCTION("""COMPUTED_VALUE"""),2)</f>
        <v>2</v>
      </c>
      <c r="Z32" s="8">
        <f ca="1">IFERROR(__xludf.DUMMYFUNCTION("""COMPUTED_VALUE"""),0)</f>
        <v>0</v>
      </c>
      <c r="AA32" s="8">
        <f ca="1">IFERROR(__xludf.DUMMYFUNCTION("""COMPUTED_VALUE"""),0)</f>
        <v>0</v>
      </c>
      <c r="AB32" s="8">
        <f ca="1">IFERROR(__xludf.DUMMYFUNCTION("""COMPUTED_VALUE"""),0)</f>
        <v>0</v>
      </c>
      <c r="AC32" s="8">
        <f ca="1">IFERROR(__xludf.DUMMYFUNCTION("""COMPUTED_VALUE"""),0)</f>
        <v>0</v>
      </c>
      <c r="AD32" s="8">
        <f ca="1">IFERROR(__xludf.DUMMYFUNCTION("""COMPUTED_VALUE"""),0)</f>
        <v>0</v>
      </c>
      <c r="AE32" s="8">
        <f ca="1">IFERROR(__xludf.DUMMYFUNCTION("""COMPUTED_VALUE"""),51)</f>
        <v>51</v>
      </c>
      <c r="AF32" s="8">
        <f ca="1">IFERROR(__xludf.DUMMYFUNCTION("""COMPUTED_VALUE"""),10)</f>
        <v>10</v>
      </c>
      <c r="AG32" s="8" t="str">
        <f ca="1">IFERROR(__xludf.DUMMYFUNCTION("""COMPUTED_VALUE"""),"")</f>
        <v/>
      </c>
      <c r="AH32" s="8">
        <f ca="1">IFERROR(__xludf.DUMMYFUNCTION("""COMPUTED_VALUE"""),0)</f>
        <v>0</v>
      </c>
      <c r="AI32" s="8" t="str">
        <f ca="1">IFERROR(__xludf.DUMMYFUNCTION("""COMPUTED_VALUE"""),"")</f>
        <v/>
      </c>
      <c r="AJ32" s="8" t="str">
        <f ca="1">IFERROR(__xludf.DUMMYFUNCTION("""COMPUTED_VALUE"""),"PB")</f>
        <v>PB</v>
      </c>
      <c r="AK32" s="8" t="str">
        <f ca="1">IFERROR(__xludf.DUMMYFUNCTION("""COMPUTED_VALUE"""),"")</f>
        <v/>
      </c>
      <c r="AL32" s="8" t="str">
        <f ca="1">IFERROR(__xludf.DUMMYFUNCTION("""COMPUTED_VALUE"""),"")</f>
        <v/>
      </c>
      <c r="AM32" s="10" t="str">
        <f ca="1">IFERROR(__xludf.DUMMYFUNCTION("""COMPUTED_VALUE"""),"")</f>
        <v/>
      </c>
    </row>
    <row r="33" spans="1:39" x14ac:dyDescent="0.2">
      <c r="A33" s="2">
        <f ca="1">IF($G33="","",IF(ISERROR(MATCH($N33,Lge_Scratch!$B:$B,0)),1,0))</f>
        <v>0</v>
      </c>
      <c r="B33" s="2">
        <f ca="1">IF($G33="","",IF(AND(LEFT($Q33,8)="Non-aero",ISERROR(MATCH($N33,Lge_NonAero!$B:$B,0))),1,0))</f>
        <v>0</v>
      </c>
      <c r="C33" s="5">
        <f ca="1">IF($G33="","",IF(AND(LEFT($O33,3)="Wom",ISERROR(MATCH($N33,Lge_Women!$B:$B,0))),1,0))</f>
        <v>0</v>
      </c>
      <c r="D33" s="2">
        <f ca="1">IF($G33="","",IF(AND(OR($O33="Vet",$O33="Woman Vet"),ISERROR(MATCH($N33,Lge_Vets!$B:$B,0))),1,0))</f>
        <v>0</v>
      </c>
      <c r="E33" s="2">
        <f ca="1">IF($G33="","",IF(AND(OR($O33="Junior",$O33="Woman Junior",$O33="Youth",$O33="Woman Youth"),ISERROR(MATCH($N33,Lge_Junior!$B:$B,0))),1,0))</f>
        <v>0</v>
      </c>
      <c r="F33" s="2">
        <f ca="1">IF($G33="","",IF(AND(LEFT($O33,3)="You",ISERROR(MATCH($N33,Lge_Youth!$B:$B,0))),1,0))</f>
        <v>0</v>
      </c>
      <c r="G33" s="3" t="str">
        <f ca="1">IFERROR(__xludf.DUMMYFUNCTION("""COMPUTED_VALUE"""),"45836_Saturday League_7")</f>
        <v>45836_Saturday League_7</v>
      </c>
      <c r="H33" s="3" t="str">
        <f ca="1">IFERROR(__xludf.DUMMYFUNCTION("""COMPUTED_VALUE"""),"45836_Saturday League_7_1")</f>
        <v>45836_Saturday League_7_1</v>
      </c>
      <c r="I33" s="3">
        <f ca="1">IFERROR(__xludf.DUMMYFUNCTION("""COMPUTED_VALUE"""),9)</f>
        <v>9</v>
      </c>
      <c r="J33" s="3" t="str">
        <f ca="1">IFERROR(__xludf.DUMMYFUNCTION("""COMPUTED_VALUE"""),"Saturday League")</f>
        <v>Saturday League</v>
      </c>
      <c r="K33" s="6">
        <f ca="1">IFERROR(__xludf.DUMMYFUNCTION("""COMPUTED_VALUE"""),45836)</f>
        <v>45836</v>
      </c>
      <c r="L33" s="4">
        <f ca="1">IFERROR(__xludf.DUMMYFUNCTION("""COMPUTED_VALUE"""),7)</f>
        <v>7</v>
      </c>
      <c r="M33" s="4">
        <f ca="1">IFERROR(__xludf.DUMMYFUNCTION("""COMPUTED_VALUE"""),1)</f>
        <v>1</v>
      </c>
      <c r="N33" s="8" t="str">
        <f ca="1">IFERROR(__xludf.DUMMYFUNCTION("""COMPUTED_VALUE"""),"Ben Pennington")</f>
        <v>Ben Pennington</v>
      </c>
      <c r="O33" s="8" t="str">
        <f ca="1">IFERROR(__xludf.DUMMYFUNCTION("""COMPUTED_VALUE"""),"Vet")</f>
        <v>Vet</v>
      </c>
      <c r="P33" s="9">
        <f ca="1">IFERROR(__xludf.DUMMYFUNCTION("""COMPUTED_VALUE"""),0.0134259259259259)</f>
        <v>1.34259259259259E-2</v>
      </c>
      <c r="Q33" s="8" t="str">
        <f ca="1">IFERROR(__xludf.DUMMYFUNCTION("""COMPUTED_VALUE"""),"Non-aero")</f>
        <v>Non-aero</v>
      </c>
      <c r="R33" s="8">
        <f ca="1">IFERROR(__xludf.DUMMYFUNCTION("""COMPUTED_VALUE"""),60)</f>
        <v>60</v>
      </c>
      <c r="S33" s="9"/>
      <c r="T33" s="8"/>
      <c r="U33" s="8">
        <f ca="1">IFERROR(__xludf.DUMMYFUNCTION("""COMPUTED_VALUE"""),60)</f>
        <v>60</v>
      </c>
      <c r="V33" s="9">
        <f ca="1">IFERROR(__xludf.DUMMYFUNCTION("""COMPUTED_VALUE"""),0.0131747685185185)</f>
        <v>1.3174768518518501E-2</v>
      </c>
      <c r="W33" s="8">
        <f ca="1">IFERROR(__xludf.DUMMYFUNCTION("""COMPUTED_VALUE"""),4)</f>
        <v>4</v>
      </c>
      <c r="X33" s="8">
        <f ca="1">IFERROR(__xludf.DUMMYFUNCTION("""COMPUTED_VALUE"""),57)</f>
        <v>57</v>
      </c>
      <c r="Y33" s="8">
        <f ca="1">IFERROR(__xludf.DUMMYFUNCTION("""COMPUTED_VALUE"""),0)</f>
        <v>0</v>
      </c>
      <c r="Z33" s="8">
        <f ca="1">IFERROR(__xludf.DUMMYFUNCTION("""COMPUTED_VALUE"""),0)</f>
        <v>0</v>
      </c>
      <c r="AA33" s="8">
        <f ca="1">IFERROR(__xludf.DUMMYFUNCTION("""COMPUTED_VALUE"""),0)</f>
        <v>0</v>
      </c>
      <c r="AB33" s="8">
        <f ca="1">IFERROR(__xludf.DUMMYFUNCTION("""COMPUTED_VALUE"""),0)</f>
        <v>0</v>
      </c>
      <c r="AC33" s="8">
        <f ca="1">IFERROR(__xludf.DUMMYFUNCTION("""COMPUTED_VALUE"""),0)</f>
        <v>0</v>
      </c>
      <c r="AD33" s="8">
        <f ca="1">IFERROR(__xludf.DUMMYFUNCTION("""COMPUTED_VALUE"""),0)</f>
        <v>0</v>
      </c>
      <c r="AE33" s="8">
        <f ca="1">IFERROR(__xludf.DUMMYFUNCTION("""COMPUTED_VALUE"""),60)</f>
        <v>60</v>
      </c>
      <c r="AF33" s="8">
        <f ca="1">IFERROR(__xludf.DUMMYFUNCTION("""COMPUTED_VALUE"""),1)</f>
        <v>1</v>
      </c>
      <c r="AG33" s="8" t="str">
        <f ca="1">IFERROR(__xludf.DUMMYFUNCTION("""COMPUTED_VALUE"""),"")</f>
        <v/>
      </c>
      <c r="AH33" s="8">
        <f ca="1">IFERROR(__xludf.DUMMYFUNCTION("""COMPUTED_VALUE"""),0)</f>
        <v>0</v>
      </c>
      <c r="AI33" s="8" t="str">
        <f ca="1">IFERROR(__xludf.DUMMYFUNCTION("""COMPUTED_VALUE"""),"")</f>
        <v/>
      </c>
      <c r="AJ33" s="8" t="str">
        <f ca="1">IFERROR(__xludf.DUMMYFUNCTION("""COMPUTED_VALUE"""),"")</f>
        <v/>
      </c>
      <c r="AK33" s="8" t="str">
        <f ca="1">IFERROR(__xludf.DUMMYFUNCTION("""COMPUTED_VALUE"""),"")</f>
        <v/>
      </c>
      <c r="AL33" s="8" t="str">
        <f ca="1">IFERROR(__xludf.DUMMYFUNCTION("""COMPUTED_VALUE"""),"")</f>
        <v/>
      </c>
      <c r="AM33" s="10" t="str">
        <f ca="1">IFERROR(__xludf.DUMMYFUNCTION("""COMPUTED_VALUE"""),"")</f>
        <v/>
      </c>
    </row>
    <row r="34" spans="1:39" x14ac:dyDescent="0.2">
      <c r="A34" s="2">
        <f ca="1">IF($G34="","",IF(ISERROR(MATCH($N34,Lge_Scratch!$B:$B,0)),1,0))</f>
        <v>0</v>
      </c>
      <c r="B34" s="2">
        <f ca="1">IF($G34="","",IF(AND(LEFT($Q34,8)="Non-aero",ISERROR(MATCH($N34,Lge_NonAero!$B:$B,0))),1,0))</f>
        <v>0</v>
      </c>
      <c r="C34" s="5">
        <f ca="1">IF($G34="","",IF(AND(LEFT($O34,3)="Wom",ISERROR(MATCH($N34,Lge_Women!$B:$B,0))),1,0))</f>
        <v>0</v>
      </c>
      <c r="D34" s="2">
        <f ca="1">IF($G34="","",IF(AND(OR($O34="Vet",$O34="Woman Vet"),ISERROR(MATCH($N34,Lge_Vets!$B:$B,0))),1,0))</f>
        <v>0</v>
      </c>
      <c r="E34" s="2">
        <f ca="1">IF($G34="","",IF(AND(OR($O34="Junior",$O34="Woman Junior",$O34="Youth",$O34="Woman Youth"),ISERROR(MATCH($N34,Lge_Junior!$B:$B,0))),1,0))</f>
        <v>0</v>
      </c>
      <c r="F34" s="2">
        <f ca="1">IF($G34="","",IF(AND(LEFT($O34,3)="You",ISERROR(MATCH($N34,Lge_Youth!$B:$B,0))),1,0))</f>
        <v>0</v>
      </c>
      <c r="G34" s="3" t="str">
        <f ca="1">IFERROR(__xludf.DUMMYFUNCTION("""COMPUTED_VALUE"""),"45836_Saturday League_7")</f>
        <v>45836_Saturday League_7</v>
      </c>
      <c r="H34" s="3" t="str">
        <f ca="1">IFERROR(__xludf.DUMMYFUNCTION("""COMPUTED_VALUE"""),"45836_Saturday League_7_2")</f>
        <v>45836_Saturday League_7_2</v>
      </c>
      <c r="I34" s="3">
        <f ca="1">IFERROR(__xludf.DUMMYFUNCTION("""COMPUTED_VALUE"""),9)</f>
        <v>9</v>
      </c>
      <c r="J34" s="3" t="str">
        <f ca="1">IFERROR(__xludf.DUMMYFUNCTION("""COMPUTED_VALUE"""),"Saturday League")</f>
        <v>Saturday League</v>
      </c>
      <c r="K34" s="6">
        <f ca="1">IFERROR(__xludf.DUMMYFUNCTION("""COMPUTED_VALUE"""),45836)</f>
        <v>45836</v>
      </c>
      <c r="L34" s="4">
        <f ca="1">IFERROR(__xludf.DUMMYFUNCTION("""COMPUTED_VALUE"""),7)</f>
        <v>7</v>
      </c>
      <c r="M34" s="4">
        <f ca="1">IFERROR(__xludf.DUMMYFUNCTION("""COMPUTED_VALUE"""),2)</f>
        <v>2</v>
      </c>
      <c r="N34" s="8" t="str">
        <f ca="1">IFERROR(__xludf.DUMMYFUNCTION("""COMPUTED_VALUE"""),"Andy Merchant")</f>
        <v>Andy Merchant</v>
      </c>
      <c r="O34" s="8" t="str">
        <f ca="1">IFERROR(__xludf.DUMMYFUNCTION("""COMPUTED_VALUE"""),"Vet")</f>
        <v>Vet</v>
      </c>
      <c r="P34" s="9">
        <f ca="1">IFERROR(__xludf.DUMMYFUNCTION("""COMPUTED_VALUE"""),0.0134722222222222)</f>
        <v>1.34722222222222E-2</v>
      </c>
      <c r="Q34" s="8" t="str">
        <f ca="1">IFERROR(__xludf.DUMMYFUNCTION("""COMPUTED_VALUE"""),"")</f>
        <v/>
      </c>
      <c r="R34" s="8">
        <f ca="1">IFERROR(__xludf.DUMMYFUNCTION("""COMPUTED_VALUE"""),59)</f>
        <v>59</v>
      </c>
      <c r="S34" s="9"/>
      <c r="T34" s="8"/>
      <c r="U34" s="8">
        <f ca="1">IFERROR(__xludf.DUMMYFUNCTION("""COMPUTED_VALUE"""),60)</f>
        <v>60</v>
      </c>
      <c r="V34" s="9">
        <f ca="1">IFERROR(__xludf.DUMMYFUNCTION("""COMPUTED_VALUE"""),0.0126296296296296)</f>
        <v>1.26296296296296E-2</v>
      </c>
      <c r="W34" s="8">
        <f ca="1">IFERROR(__xludf.DUMMYFUNCTION("""COMPUTED_VALUE"""),1)</f>
        <v>1</v>
      </c>
      <c r="X34" s="8">
        <f ca="1">IFERROR(__xludf.DUMMYFUNCTION("""COMPUTED_VALUE"""),60)</f>
        <v>60</v>
      </c>
      <c r="Y34" s="8">
        <f ca="1">IFERROR(__xludf.DUMMYFUNCTION("""COMPUTED_VALUE"""),0)</f>
        <v>0</v>
      </c>
      <c r="Z34" s="8">
        <f ca="1">IFERROR(__xludf.DUMMYFUNCTION("""COMPUTED_VALUE"""),0)</f>
        <v>0</v>
      </c>
      <c r="AA34" s="8">
        <f ca="1">IFERROR(__xludf.DUMMYFUNCTION("""COMPUTED_VALUE"""),0)</f>
        <v>0</v>
      </c>
      <c r="AB34" s="8">
        <f ca="1">IFERROR(__xludf.DUMMYFUNCTION("""COMPUTED_VALUE"""),0)</f>
        <v>0</v>
      </c>
      <c r="AC34" s="8">
        <f ca="1">IFERROR(__xludf.DUMMYFUNCTION("""COMPUTED_VALUE"""),0)</f>
        <v>0</v>
      </c>
      <c r="AD34" s="8">
        <f ca="1">IFERROR(__xludf.DUMMYFUNCTION("""COMPUTED_VALUE"""),0)</f>
        <v>0</v>
      </c>
      <c r="AE34" s="8">
        <f ca="1">IFERROR(__xludf.DUMMYFUNCTION("""COMPUTED_VALUE"""),0)</f>
        <v>0</v>
      </c>
      <c r="AF34" s="8" t="str">
        <f ca="1">IFERROR(__xludf.DUMMYFUNCTION("""COMPUTED_VALUE"""),"")</f>
        <v/>
      </c>
      <c r="AG34" s="8" t="str">
        <f ca="1">IFERROR(__xludf.DUMMYFUNCTION("""COMPUTED_VALUE"""),"")</f>
        <v/>
      </c>
      <c r="AH34" s="8">
        <f ca="1">IFERROR(__xludf.DUMMYFUNCTION("""COMPUTED_VALUE"""),0)</f>
        <v>0</v>
      </c>
      <c r="AI34" s="8" t="str">
        <f ca="1">IFERROR(__xludf.DUMMYFUNCTION("""COMPUTED_VALUE"""),"")</f>
        <v/>
      </c>
      <c r="AJ34" s="8" t="str">
        <f ca="1">IFERROR(__xludf.DUMMYFUNCTION("""COMPUTED_VALUE"""),"")</f>
        <v/>
      </c>
      <c r="AK34" s="8" t="str">
        <f ca="1">IFERROR(__xludf.DUMMYFUNCTION("""COMPUTED_VALUE"""),"")</f>
        <v/>
      </c>
      <c r="AL34" s="8" t="str">
        <f ca="1">IFERROR(__xludf.DUMMYFUNCTION("""COMPUTED_VALUE"""),"")</f>
        <v/>
      </c>
      <c r="AM34" s="10" t="str">
        <f ca="1">IFERROR(__xludf.DUMMYFUNCTION("""COMPUTED_VALUE"""),"")</f>
        <v/>
      </c>
    </row>
    <row r="35" spans="1:39" x14ac:dyDescent="0.2">
      <c r="A35" s="2">
        <f ca="1">IF($G35="","",IF(ISERROR(MATCH($N35,Lge_Scratch!$B:$B,0)),1,0))</f>
        <v>0</v>
      </c>
      <c r="B35" s="2">
        <f ca="1">IF($G35="","",IF(AND(LEFT($Q35,8)="Non-aero",ISERROR(MATCH($N35,Lge_NonAero!$B:$B,0))),1,0))</f>
        <v>0</v>
      </c>
      <c r="C35" s="5">
        <f ca="1">IF($G35="","",IF(AND(LEFT($O35,3)="Wom",ISERROR(MATCH($N35,Lge_Women!$B:$B,0))),1,0))</f>
        <v>0</v>
      </c>
      <c r="D35" s="2">
        <f ca="1">IF($G35="","",IF(AND(OR($O35="Vet",$O35="Woman Vet"),ISERROR(MATCH($N35,Lge_Vets!$B:$B,0))),1,0))</f>
        <v>0</v>
      </c>
      <c r="E35" s="2">
        <f ca="1">IF($G35="","",IF(AND(OR($O35="Junior",$O35="Woman Junior",$O35="Youth",$O35="Woman Youth"),ISERROR(MATCH($N35,Lge_Junior!$B:$B,0))),1,0))</f>
        <v>0</v>
      </c>
      <c r="F35" s="2">
        <f ca="1">IF($G35="","",IF(AND(LEFT($O35,3)="You",ISERROR(MATCH($N35,Lge_Youth!$B:$B,0))),1,0))</f>
        <v>0</v>
      </c>
      <c r="G35" s="3" t="str">
        <f ca="1">IFERROR(__xludf.DUMMYFUNCTION("""COMPUTED_VALUE"""),"45836_Saturday League_7")</f>
        <v>45836_Saturday League_7</v>
      </c>
      <c r="H35" s="3" t="str">
        <f ca="1">IFERROR(__xludf.DUMMYFUNCTION("""COMPUTED_VALUE"""),"45836_Saturday League_7_3")</f>
        <v>45836_Saturday League_7_3</v>
      </c>
      <c r="I35" s="3">
        <f ca="1">IFERROR(__xludf.DUMMYFUNCTION("""COMPUTED_VALUE"""),9)</f>
        <v>9</v>
      </c>
      <c r="J35" s="3" t="str">
        <f ca="1">IFERROR(__xludf.DUMMYFUNCTION("""COMPUTED_VALUE"""),"Saturday League")</f>
        <v>Saturday League</v>
      </c>
      <c r="K35" s="6">
        <f ca="1">IFERROR(__xludf.DUMMYFUNCTION("""COMPUTED_VALUE"""),45836)</f>
        <v>45836</v>
      </c>
      <c r="L35" s="4">
        <f ca="1">IFERROR(__xludf.DUMMYFUNCTION("""COMPUTED_VALUE"""),7)</f>
        <v>7</v>
      </c>
      <c r="M35" s="4">
        <f ca="1">IFERROR(__xludf.DUMMYFUNCTION("""COMPUTED_VALUE"""),3)</f>
        <v>3</v>
      </c>
      <c r="N35" s="8" t="str">
        <f ca="1">IFERROR(__xludf.DUMMYFUNCTION("""COMPUTED_VALUE"""),"Alex Childs")</f>
        <v>Alex Childs</v>
      </c>
      <c r="O35" s="8" t="str">
        <f ca="1">IFERROR(__xludf.DUMMYFUNCTION("""COMPUTED_VALUE"""),"Vet")</f>
        <v>Vet</v>
      </c>
      <c r="P35" s="9">
        <f ca="1">IFERROR(__xludf.DUMMYFUNCTION("""COMPUTED_VALUE"""),0.0136458333333333)</f>
        <v>1.36458333333333E-2</v>
      </c>
      <c r="Q35" s="8" t="str">
        <f ca="1">IFERROR(__xludf.DUMMYFUNCTION("""COMPUTED_VALUE"""),"First 7 mile TT")</f>
        <v>First 7 mile TT</v>
      </c>
      <c r="R35" s="8">
        <f ca="1">IFERROR(__xludf.DUMMYFUNCTION("""COMPUTED_VALUE"""),58)</f>
        <v>58</v>
      </c>
      <c r="S35" s="9"/>
      <c r="T35" s="8"/>
      <c r="U35" s="8">
        <f ca="1">IFERROR(__xludf.DUMMYFUNCTION("""COMPUTED_VALUE"""),60)</f>
        <v>60</v>
      </c>
      <c r="V35" s="9">
        <f ca="1">IFERROR(__xludf.DUMMYFUNCTION("""COMPUTED_VALUE"""),0.0128680555555555)</f>
        <v>1.2868055555555501E-2</v>
      </c>
      <c r="W35" s="8">
        <f ca="1">IFERROR(__xludf.DUMMYFUNCTION("""COMPUTED_VALUE"""),2)</f>
        <v>2</v>
      </c>
      <c r="X35" s="8">
        <f ca="1">IFERROR(__xludf.DUMMYFUNCTION("""COMPUTED_VALUE"""),59)</f>
        <v>59</v>
      </c>
      <c r="Y35" s="8">
        <f ca="1">IFERROR(__xludf.DUMMYFUNCTION("""COMPUTED_VALUE"""),0)</f>
        <v>0</v>
      </c>
      <c r="Z35" s="8">
        <f ca="1">IFERROR(__xludf.DUMMYFUNCTION("""COMPUTED_VALUE"""),0)</f>
        <v>0</v>
      </c>
      <c r="AA35" s="8">
        <f ca="1">IFERROR(__xludf.DUMMYFUNCTION("""COMPUTED_VALUE"""),0)</f>
        <v>0</v>
      </c>
      <c r="AB35" s="8">
        <f ca="1">IFERROR(__xludf.DUMMYFUNCTION("""COMPUTED_VALUE"""),0)</f>
        <v>0</v>
      </c>
      <c r="AC35" s="8">
        <f ca="1">IFERROR(__xludf.DUMMYFUNCTION("""COMPUTED_VALUE"""),0)</f>
        <v>0</v>
      </c>
      <c r="AD35" s="8">
        <f ca="1">IFERROR(__xludf.DUMMYFUNCTION("""COMPUTED_VALUE"""),0)</f>
        <v>0</v>
      </c>
      <c r="AE35" s="8">
        <f ca="1">IFERROR(__xludf.DUMMYFUNCTION("""COMPUTED_VALUE"""),0)</f>
        <v>0</v>
      </c>
      <c r="AF35" s="8" t="str">
        <f ca="1">IFERROR(__xludf.DUMMYFUNCTION("""COMPUTED_VALUE"""),"")</f>
        <v/>
      </c>
      <c r="AG35" s="8" t="str">
        <f ca="1">IFERROR(__xludf.DUMMYFUNCTION("""COMPUTED_VALUE"""),"")</f>
        <v/>
      </c>
      <c r="AH35" s="8">
        <f ca="1">IFERROR(__xludf.DUMMYFUNCTION("""COMPUTED_VALUE"""),0)</f>
        <v>0</v>
      </c>
      <c r="AI35" s="8" t="str">
        <f ca="1">IFERROR(__xludf.DUMMYFUNCTION("""COMPUTED_VALUE"""),"First 7 mile TT")</f>
        <v>First 7 mile TT</v>
      </c>
      <c r="AJ35" s="8" t="str">
        <f ca="1">IFERROR(__xludf.DUMMYFUNCTION("""COMPUTED_VALUE"""),"")</f>
        <v/>
      </c>
      <c r="AK35" s="8" t="str">
        <f ca="1">IFERROR(__xludf.DUMMYFUNCTION("""COMPUTED_VALUE"""),"")</f>
        <v/>
      </c>
      <c r="AL35" s="8" t="str">
        <f ca="1">IFERROR(__xludf.DUMMYFUNCTION("""COMPUTED_VALUE"""),"")</f>
        <v/>
      </c>
      <c r="AM35" s="10" t="str">
        <f ca="1">IFERROR(__xludf.DUMMYFUNCTION("""COMPUTED_VALUE"""),"")</f>
        <v/>
      </c>
    </row>
    <row r="36" spans="1:39" x14ac:dyDescent="0.2">
      <c r="A36" s="2">
        <f ca="1">IF($G36="","",IF(ISERROR(MATCH($N36,Lge_Scratch!$B:$B,0)),1,0))</f>
        <v>0</v>
      </c>
      <c r="B36" s="2">
        <f ca="1">IF($G36="","",IF(AND(LEFT($Q36,8)="Non-aero",ISERROR(MATCH($N36,Lge_NonAero!$B:$B,0))),1,0))</f>
        <v>0</v>
      </c>
      <c r="C36" s="5">
        <f ca="1">IF($G36="","",IF(AND(LEFT($O36,3)="Wom",ISERROR(MATCH($N36,Lge_Women!$B:$B,0))),1,0))</f>
        <v>0</v>
      </c>
      <c r="D36" s="2">
        <f ca="1">IF($G36="","",IF(AND(OR($O36="Vet",$O36="Woman Vet"),ISERROR(MATCH($N36,Lge_Vets!$B:$B,0))),1,0))</f>
        <v>0</v>
      </c>
      <c r="E36" s="2">
        <f ca="1">IF($G36="","",IF(AND(OR($O36="Junior",$O36="Woman Junior",$O36="Youth",$O36="Woman Youth"),ISERROR(MATCH($N36,Lge_Junior!$B:$B,0))),1,0))</f>
        <v>0</v>
      </c>
      <c r="F36" s="2">
        <f ca="1">IF($G36="","",IF(AND(LEFT($O36,3)="You",ISERROR(MATCH($N36,Lge_Youth!$B:$B,0))),1,0))</f>
        <v>0</v>
      </c>
      <c r="G36" s="3" t="str">
        <f ca="1">IFERROR(__xludf.DUMMYFUNCTION("""COMPUTED_VALUE"""),"45836_Saturday League_7")</f>
        <v>45836_Saturday League_7</v>
      </c>
      <c r="H36" s="3" t="str">
        <f ca="1">IFERROR(__xludf.DUMMYFUNCTION("""COMPUTED_VALUE"""),"45836_Saturday League_7_4")</f>
        <v>45836_Saturday League_7_4</v>
      </c>
      <c r="I36" s="3">
        <f ca="1">IFERROR(__xludf.DUMMYFUNCTION("""COMPUTED_VALUE"""),9)</f>
        <v>9</v>
      </c>
      <c r="J36" s="3" t="str">
        <f ca="1">IFERROR(__xludf.DUMMYFUNCTION("""COMPUTED_VALUE"""),"Saturday League")</f>
        <v>Saturday League</v>
      </c>
      <c r="K36" s="6">
        <f ca="1">IFERROR(__xludf.DUMMYFUNCTION("""COMPUTED_VALUE"""),45836)</f>
        <v>45836</v>
      </c>
      <c r="L36" s="4">
        <f ca="1">IFERROR(__xludf.DUMMYFUNCTION("""COMPUTED_VALUE"""),7)</f>
        <v>7</v>
      </c>
      <c r="M36" s="4">
        <f ca="1">IFERROR(__xludf.DUMMYFUNCTION("""COMPUTED_VALUE"""),4)</f>
        <v>4</v>
      </c>
      <c r="N36" s="8" t="str">
        <f ca="1">IFERROR(__xludf.DUMMYFUNCTION("""COMPUTED_VALUE"""),"Adam Jones")</f>
        <v>Adam Jones</v>
      </c>
      <c r="O36" s="8" t="str">
        <f ca="1">IFERROR(__xludf.DUMMYFUNCTION("""COMPUTED_VALUE"""),"Vet")</f>
        <v>Vet</v>
      </c>
      <c r="P36" s="9">
        <f ca="1">IFERROR(__xludf.DUMMYFUNCTION("""COMPUTED_VALUE"""),0.0138773148148148)</f>
        <v>1.3877314814814801E-2</v>
      </c>
      <c r="Q36" s="8" t="str">
        <f ca="1">IFERROR(__xludf.DUMMYFUNCTION("""COMPUTED_VALUE"""),"Non-aero")</f>
        <v>Non-aero</v>
      </c>
      <c r="R36" s="8">
        <f ca="1">IFERROR(__xludf.DUMMYFUNCTION("""COMPUTED_VALUE"""),57)</f>
        <v>57</v>
      </c>
      <c r="S36" s="9"/>
      <c r="T36" s="8"/>
      <c r="U36" s="8">
        <f ca="1">IFERROR(__xludf.DUMMYFUNCTION("""COMPUTED_VALUE"""),60)</f>
        <v>60</v>
      </c>
      <c r="V36" s="9">
        <f ca="1">IFERROR(__xludf.DUMMYFUNCTION("""COMPUTED_VALUE"""),0.0133425925925925)</f>
        <v>1.33425925925925E-2</v>
      </c>
      <c r="W36" s="8">
        <f ca="1">IFERROR(__xludf.DUMMYFUNCTION("""COMPUTED_VALUE"""),5)</f>
        <v>5</v>
      </c>
      <c r="X36" s="8">
        <f ca="1">IFERROR(__xludf.DUMMYFUNCTION("""COMPUTED_VALUE"""),56)</f>
        <v>56</v>
      </c>
      <c r="Y36" s="8">
        <f ca="1">IFERROR(__xludf.DUMMYFUNCTION("""COMPUTED_VALUE"""),0)</f>
        <v>0</v>
      </c>
      <c r="Z36" s="8">
        <f ca="1">IFERROR(__xludf.DUMMYFUNCTION("""COMPUTED_VALUE"""),0)</f>
        <v>0</v>
      </c>
      <c r="AA36" s="8">
        <f ca="1">IFERROR(__xludf.DUMMYFUNCTION("""COMPUTED_VALUE"""),0)</f>
        <v>0</v>
      </c>
      <c r="AB36" s="8">
        <f ca="1">IFERROR(__xludf.DUMMYFUNCTION("""COMPUTED_VALUE"""),0)</f>
        <v>0</v>
      </c>
      <c r="AC36" s="8">
        <f ca="1">IFERROR(__xludf.DUMMYFUNCTION("""COMPUTED_VALUE"""),0)</f>
        <v>0</v>
      </c>
      <c r="AD36" s="8">
        <f ca="1">IFERROR(__xludf.DUMMYFUNCTION("""COMPUTED_VALUE"""),0)</f>
        <v>0</v>
      </c>
      <c r="AE36" s="8">
        <f ca="1">IFERROR(__xludf.DUMMYFUNCTION("""COMPUTED_VALUE"""),59)</f>
        <v>59</v>
      </c>
      <c r="AF36" s="8">
        <f ca="1">IFERROR(__xludf.DUMMYFUNCTION("""COMPUTED_VALUE"""),2)</f>
        <v>2</v>
      </c>
      <c r="AG36" s="8" t="str">
        <f ca="1">IFERROR(__xludf.DUMMYFUNCTION("""COMPUTED_VALUE"""),"")</f>
        <v/>
      </c>
      <c r="AH36" s="8">
        <f ca="1">IFERROR(__xludf.DUMMYFUNCTION("""COMPUTED_VALUE"""),0)</f>
        <v>0</v>
      </c>
      <c r="AI36" s="8" t="str">
        <f ca="1">IFERROR(__xludf.DUMMYFUNCTION("""COMPUTED_VALUE"""),"")</f>
        <v/>
      </c>
      <c r="AJ36" s="8" t="str">
        <f ca="1">IFERROR(__xludf.DUMMYFUNCTION("""COMPUTED_VALUE"""),"")</f>
        <v/>
      </c>
      <c r="AK36" s="8" t="str">
        <f ca="1">IFERROR(__xludf.DUMMYFUNCTION("""COMPUTED_VALUE"""),"")</f>
        <v/>
      </c>
      <c r="AL36" s="8" t="str">
        <f ca="1">IFERROR(__xludf.DUMMYFUNCTION("""COMPUTED_VALUE"""),"")</f>
        <v/>
      </c>
      <c r="AM36" s="10" t="str">
        <f ca="1">IFERROR(__xludf.DUMMYFUNCTION("""COMPUTED_VALUE"""),"")</f>
        <v/>
      </c>
    </row>
    <row r="37" spans="1:39" x14ac:dyDescent="0.2">
      <c r="A37" s="2">
        <f ca="1">IF($G37="","",IF(ISERROR(MATCH($N37,Lge_Scratch!$B:$B,0)),1,0))</f>
        <v>0</v>
      </c>
      <c r="B37" s="2">
        <f ca="1">IF($G37="","",IF(AND(LEFT($Q37,8)="Non-aero",ISERROR(MATCH($N37,Lge_NonAero!$B:$B,0))),1,0))</f>
        <v>0</v>
      </c>
      <c r="C37" s="5">
        <f ca="1">IF($G37="","",IF(AND(LEFT($O37,3)="Wom",ISERROR(MATCH($N37,Lge_Women!$B:$B,0))),1,0))</f>
        <v>0</v>
      </c>
      <c r="D37" s="2">
        <f ca="1">IF($G37="","",IF(AND(OR($O37="Vet",$O37="Woman Vet"),ISERROR(MATCH($N37,Lge_Vets!$B:$B,0))),1,0))</f>
        <v>0</v>
      </c>
      <c r="E37" s="2">
        <f ca="1">IF($G37="","",IF(AND(OR($O37="Junior",$O37="Woman Junior",$O37="Youth",$O37="Woman Youth"),ISERROR(MATCH($N37,Lge_Junior!$B:$B,0))),1,0))</f>
        <v>0</v>
      </c>
      <c r="F37" s="2">
        <f ca="1">IF($G37="","",IF(AND(LEFT($O37,3)="You",ISERROR(MATCH($N37,Lge_Youth!$B:$B,0))),1,0))</f>
        <v>0</v>
      </c>
      <c r="G37" s="3" t="str">
        <f ca="1">IFERROR(__xludf.DUMMYFUNCTION("""COMPUTED_VALUE"""),"45836_Saturday League_7")</f>
        <v>45836_Saturday League_7</v>
      </c>
      <c r="H37" s="3" t="str">
        <f ca="1">IFERROR(__xludf.DUMMYFUNCTION("""COMPUTED_VALUE"""),"45836_Saturday League_7_5")</f>
        <v>45836_Saturday League_7_5</v>
      </c>
      <c r="I37" s="3">
        <f ca="1">IFERROR(__xludf.DUMMYFUNCTION("""COMPUTED_VALUE"""),9)</f>
        <v>9</v>
      </c>
      <c r="J37" s="3" t="str">
        <f ca="1">IFERROR(__xludf.DUMMYFUNCTION("""COMPUTED_VALUE"""),"Saturday League")</f>
        <v>Saturday League</v>
      </c>
      <c r="K37" s="6">
        <f ca="1">IFERROR(__xludf.DUMMYFUNCTION("""COMPUTED_VALUE"""),45836)</f>
        <v>45836</v>
      </c>
      <c r="L37" s="4">
        <f ca="1">IFERROR(__xludf.DUMMYFUNCTION("""COMPUTED_VALUE"""),7)</f>
        <v>7</v>
      </c>
      <c r="M37" s="4">
        <f ca="1">IFERROR(__xludf.DUMMYFUNCTION("""COMPUTED_VALUE"""),5)</f>
        <v>5</v>
      </c>
      <c r="N37" s="8" t="str">
        <f ca="1">IFERROR(__xludf.DUMMYFUNCTION("""COMPUTED_VALUE"""),"Tony Gowers")</f>
        <v>Tony Gowers</v>
      </c>
      <c r="O37" s="8" t="str">
        <f ca="1">IFERROR(__xludf.DUMMYFUNCTION("""COMPUTED_VALUE"""),"Vet")</f>
        <v>Vet</v>
      </c>
      <c r="P37" s="9">
        <f ca="1">IFERROR(__xludf.DUMMYFUNCTION("""COMPUTED_VALUE"""),0.0149537037037037)</f>
        <v>1.49537037037037E-2</v>
      </c>
      <c r="Q37" s="8" t="str">
        <f ca="1">IFERROR(__xludf.DUMMYFUNCTION("""COMPUTED_VALUE"""),"Non-aero")</f>
        <v>Non-aero</v>
      </c>
      <c r="R37" s="8">
        <f ca="1">IFERROR(__xludf.DUMMYFUNCTION("""COMPUTED_VALUE"""),56)</f>
        <v>56</v>
      </c>
      <c r="S37" s="9"/>
      <c r="T37" s="8"/>
      <c r="U37" s="8">
        <f ca="1">IFERROR(__xludf.DUMMYFUNCTION("""COMPUTED_VALUE"""),60)</f>
        <v>60</v>
      </c>
      <c r="V37" s="9">
        <f ca="1">IFERROR(__xludf.DUMMYFUNCTION("""COMPUTED_VALUE"""),0.013568287037037)</f>
        <v>1.3568287037037E-2</v>
      </c>
      <c r="W37" s="8">
        <f ca="1">IFERROR(__xludf.DUMMYFUNCTION("""COMPUTED_VALUE"""),6)</f>
        <v>6</v>
      </c>
      <c r="X37" s="8">
        <f ca="1">IFERROR(__xludf.DUMMYFUNCTION("""COMPUTED_VALUE"""),55)</f>
        <v>55</v>
      </c>
      <c r="Y37" s="8">
        <f ca="1">IFERROR(__xludf.DUMMYFUNCTION("""COMPUTED_VALUE"""),0)</f>
        <v>0</v>
      </c>
      <c r="Z37" s="8">
        <f ca="1">IFERROR(__xludf.DUMMYFUNCTION("""COMPUTED_VALUE"""),0)</f>
        <v>0</v>
      </c>
      <c r="AA37" s="8">
        <f ca="1">IFERROR(__xludf.DUMMYFUNCTION("""COMPUTED_VALUE"""),0)</f>
        <v>0</v>
      </c>
      <c r="AB37" s="8">
        <f ca="1">IFERROR(__xludf.DUMMYFUNCTION("""COMPUTED_VALUE"""),0)</f>
        <v>0</v>
      </c>
      <c r="AC37" s="8">
        <f ca="1">IFERROR(__xludf.DUMMYFUNCTION("""COMPUTED_VALUE"""),0)</f>
        <v>0</v>
      </c>
      <c r="AD37" s="8">
        <f ca="1">IFERROR(__xludf.DUMMYFUNCTION("""COMPUTED_VALUE"""),0)</f>
        <v>0</v>
      </c>
      <c r="AE37" s="8">
        <f ca="1">IFERROR(__xludf.DUMMYFUNCTION("""COMPUTED_VALUE"""),58)</f>
        <v>58</v>
      </c>
      <c r="AF37" s="8">
        <f ca="1">IFERROR(__xludf.DUMMYFUNCTION("""COMPUTED_VALUE"""),3)</f>
        <v>3</v>
      </c>
      <c r="AG37" s="8" t="str">
        <f ca="1">IFERROR(__xludf.DUMMYFUNCTION("""COMPUTED_VALUE"""),"")</f>
        <v/>
      </c>
      <c r="AH37" s="8">
        <f ca="1">IFERROR(__xludf.DUMMYFUNCTION("""COMPUTED_VALUE"""),0)</f>
        <v>0</v>
      </c>
      <c r="AI37" s="8" t="str">
        <f ca="1">IFERROR(__xludf.DUMMYFUNCTION("""COMPUTED_VALUE"""),"")</f>
        <v/>
      </c>
      <c r="AJ37" s="8" t="str">
        <f ca="1">IFERROR(__xludf.DUMMYFUNCTION("""COMPUTED_VALUE"""),"")</f>
        <v/>
      </c>
      <c r="AK37" s="8" t="str">
        <f ca="1">IFERROR(__xludf.DUMMYFUNCTION("""COMPUTED_VALUE"""),"")</f>
        <v/>
      </c>
      <c r="AL37" s="8" t="str">
        <f ca="1">IFERROR(__xludf.DUMMYFUNCTION("""COMPUTED_VALUE"""),"")</f>
        <v/>
      </c>
      <c r="AM37" s="10" t="str">
        <f ca="1">IFERROR(__xludf.DUMMYFUNCTION("""COMPUTED_VALUE"""),"")</f>
        <v/>
      </c>
    </row>
    <row r="38" spans="1:39" x14ac:dyDescent="0.2">
      <c r="A38" s="2">
        <f ca="1">IF($G38="","",IF(ISERROR(MATCH($N38,Lge_Scratch!$B:$B,0)),1,0))</f>
        <v>0</v>
      </c>
      <c r="B38" s="2">
        <f ca="1">IF($G38="","",IF(AND(LEFT($Q38,8)="Non-aero",ISERROR(MATCH($N38,Lge_NonAero!$B:$B,0))),1,0))</f>
        <v>0</v>
      </c>
      <c r="C38" s="5">
        <f ca="1">IF($G38="","",IF(AND(LEFT($O38,3)="Wom",ISERROR(MATCH($N38,Lge_Women!$B:$B,0))),1,0))</f>
        <v>0</v>
      </c>
      <c r="D38" s="2">
        <f ca="1">IF($G38="","",IF(AND(OR($O38="Vet",$O38="Woman Vet"),ISERROR(MATCH($N38,Lge_Vets!$B:$B,0))),1,0))</f>
        <v>0</v>
      </c>
      <c r="E38" s="2">
        <f ca="1">IF($G38="","",IF(AND(OR($O38="Junior",$O38="Woman Junior",$O38="Youth",$O38="Woman Youth"),ISERROR(MATCH($N38,Lge_Junior!$B:$B,0))),1,0))</f>
        <v>0</v>
      </c>
      <c r="F38" s="2">
        <f ca="1">IF($G38="","",IF(AND(LEFT($O38,3)="You",ISERROR(MATCH($N38,Lge_Youth!$B:$B,0))),1,0))</f>
        <v>0</v>
      </c>
      <c r="G38" s="3" t="str">
        <f ca="1">IFERROR(__xludf.DUMMYFUNCTION("""COMPUTED_VALUE"""),"45836_Saturday League_7")</f>
        <v>45836_Saturday League_7</v>
      </c>
      <c r="H38" s="3" t="str">
        <f ca="1">IFERROR(__xludf.DUMMYFUNCTION("""COMPUTED_VALUE"""),"45836_Saturday League_7_6")</f>
        <v>45836_Saturday League_7_6</v>
      </c>
      <c r="I38" s="3">
        <f ca="1">IFERROR(__xludf.DUMMYFUNCTION("""COMPUTED_VALUE"""),9)</f>
        <v>9</v>
      </c>
      <c r="J38" s="3" t="str">
        <f ca="1">IFERROR(__xludf.DUMMYFUNCTION("""COMPUTED_VALUE"""),"Saturday League")</f>
        <v>Saturday League</v>
      </c>
      <c r="K38" s="6">
        <f ca="1">IFERROR(__xludf.DUMMYFUNCTION("""COMPUTED_VALUE"""),45836)</f>
        <v>45836</v>
      </c>
      <c r="L38" s="4">
        <f ca="1">IFERROR(__xludf.DUMMYFUNCTION("""COMPUTED_VALUE"""),7)</f>
        <v>7</v>
      </c>
      <c r="M38" s="4">
        <f ca="1">IFERROR(__xludf.DUMMYFUNCTION("""COMPUTED_VALUE"""),6)</f>
        <v>6</v>
      </c>
      <c r="N38" s="8" t="str">
        <f ca="1">IFERROR(__xludf.DUMMYFUNCTION("""COMPUTED_VALUE"""),"Simon Gretton")</f>
        <v>Simon Gretton</v>
      </c>
      <c r="O38" s="8" t="str">
        <f ca="1">IFERROR(__xludf.DUMMYFUNCTION("""COMPUTED_VALUE"""),"Vet")</f>
        <v>Vet</v>
      </c>
      <c r="P38" s="9">
        <f ca="1">IFERROR(__xludf.DUMMYFUNCTION("""COMPUTED_VALUE"""),0.0153587962962962)</f>
        <v>1.53587962962962E-2</v>
      </c>
      <c r="Q38" s="8" t="str">
        <f ca="1">IFERROR(__xludf.DUMMYFUNCTION("""COMPUTED_VALUE"""),"Non-aero")</f>
        <v>Non-aero</v>
      </c>
      <c r="R38" s="8">
        <f ca="1">IFERROR(__xludf.DUMMYFUNCTION("""COMPUTED_VALUE"""),55)</f>
        <v>55</v>
      </c>
      <c r="S38" s="9"/>
      <c r="T38" s="8"/>
      <c r="U38" s="8">
        <f ca="1">IFERROR(__xludf.DUMMYFUNCTION("""COMPUTED_VALUE"""),60)</f>
        <v>60</v>
      </c>
      <c r="V38" s="9">
        <f ca="1">IFERROR(__xludf.DUMMYFUNCTION("""COMPUTED_VALUE"""),0.0128877314814814)</f>
        <v>1.2887731481481399E-2</v>
      </c>
      <c r="W38" s="8">
        <f ca="1">IFERROR(__xludf.DUMMYFUNCTION("""COMPUTED_VALUE"""),3)</f>
        <v>3</v>
      </c>
      <c r="X38" s="8">
        <f ca="1">IFERROR(__xludf.DUMMYFUNCTION("""COMPUTED_VALUE"""),58)</f>
        <v>58</v>
      </c>
      <c r="Y38" s="8">
        <f ca="1">IFERROR(__xludf.DUMMYFUNCTION("""COMPUTED_VALUE"""),0)</f>
        <v>0</v>
      </c>
      <c r="Z38" s="8">
        <f ca="1">IFERROR(__xludf.DUMMYFUNCTION("""COMPUTED_VALUE"""),0)</f>
        <v>0</v>
      </c>
      <c r="AA38" s="8">
        <f ca="1">IFERROR(__xludf.DUMMYFUNCTION("""COMPUTED_VALUE"""),0)</f>
        <v>0</v>
      </c>
      <c r="AB38" s="8">
        <f ca="1">IFERROR(__xludf.DUMMYFUNCTION("""COMPUTED_VALUE"""),0)</f>
        <v>0</v>
      </c>
      <c r="AC38" s="8">
        <f ca="1">IFERROR(__xludf.DUMMYFUNCTION("""COMPUTED_VALUE"""),0)</f>
        <v>0</v>
      </c>
      <c r="AD38" s="8">
        <f ca="1">IFERROR(__xludf.DUMMYFUNCTION("""COMPUTED_VALUE"""),0)</f>
        <v>0</v>
      </c>
      <c r="AE38" s="8">
        <f ca="1">IFERROR(__xludf.DUMMYFUNCTION("""COMPUTED_VALUE"""),57)</f>
        <v>57</v>
      </c>
      <c r="AF38" s="8">
        <f ca="1">IFERROR(__xludf.DUMMYFUNCTION("""COMPUTED_VALUE"""),4)</f>
        <v>4</v>
      </c>
      <c r="AG38" s="8" t="str">
        <f ca="1">IFERROR(__xludf.DUMMYFUNCTION("""COMPUTED_VALUE"""),"")</f>
        <v/>
      </c>
      <c r="AH38" s="8">
        <f ca="1">IFERROR(__xludf.DUMMYFUNCTION("""COMPUTED_VALUE"""),0)</f>
        <v>0</v>
      </c>
      <c r="AI38" s="8" t="str">
        <f ca="1">IFERROR(__xludf.DUMMYFUNCTION("""COMPUTED_VALUE"""),"")</f>
        <v/>
      </c>
      <c r="AJ38" s="8" t="str">
        <f ca="1">IFERROR(__xludf.DUMMYFUNCTION("""COMPUTED_VALUE"""),"")</f>
        <v/>
      </c>
      <c r="AK38" s="8" t="str">
        <f ca="1">IFERROR(__xludf.DUMMYFUNCTION("""COMPUTED_VALUE"""),"")</f>
        <v/>
      </c>
      <c r="AL38" s="8" t="str">
        <f ca="1">IFERROR(__xludf.DUMMYFUNCTION("""COMPUTED_VALUE"""),"")</f>
        <v/>
      </c>
      <c r="AM38" s="10" t="str">
        <f ca="1">IFERROR(__xludf.DUMMYFUNCTION("""COMPUTED_VALUE"""),"")</f>
        <v/>
      </c>
    </row>
    <row r="39" spans="1:39" x14ac:dyDescent="0.2">
      <c r="A39" s="2">
        <f ca="1">IF($G39="","",IF(ISERROR(MATCH($N39,Lge_Scratch!$B:$B,0)),1,0))</f>
        <v>0</v>
      </c>
      <c r="B39" s="2">
        <f ca="1">IF($G39="","",IF(AND(LEFT($Q39,8)="Non-aero",ISERROR(MATCH($N39,Lge_NonAero!$B:$B,0))),1,0))</f>
        <v>0</v>
      </c>
      <c r="C39" s="5">
        <f ca="1">IF($G39="","",IF(AND(LEFT($O39,3)="Wom",ISERROR(MATCH($N39,Lge_Women!$B:$B,0))),1,0))</f>
        <v>0</v>
      </c>
      <c r="D39" s="2">
        <f ca="1">IF($G39="","",IF(AND(OR($O39="Vet",$O39="Woman Vet"),ISERROR(MATCH($N39,Lge_Vets!$B:$B,0))),1,0))</f>
        <v>0</v>
      </c>
      <c r="E39" s="2">
        <f ca="1">IF($G39="","",IF(AND(OR($O39="Junior",$O39="Woman Junior",$O39="Youth",$O39="Woman Youth"),ISERROR(MATCH($N39,Lge_Junior!$B:$B,0))),1,0))</f>
        <v>0</v>
      </c>
      <c r="F39" s="2">
        <f ca="1">IF($G39="","",IF(AND(LEFT($O39,3)="You",ISERROR(MATCH($N39,Lge_Youth!$B:$B,0))),1,0))</f>
        <v>0</v>
      </c>
      <c r="G39" s="3" t="str">
        <f ca="1">IFERROR(__xludf.DUMMYFUNCTION("""COMPUTED_VALUE"""),"45836_Saturday League_7")</f>
        <v>45836_Saturday League_7</v>
      </c>
      <c r="H39" s="3" t="str">
        <f ca="1">IFERROR(__xludf.DUMMYFUNCTION("""COMPUTED_VALUE"""),"45836_Saturday League_7_7")</f>
        <v>45836_Saturday League_7_7</v>
      </c>
      <c r="I39" s="3">
        <f ca="1">IFERROR(__xludf.DUMMYFUNCTION("""COMPUTED_VALUE"""),9)</f>
        <v>9</v>
      </c>
      <c r="J39" s="3" t="str">
        <f ca="1">IFERROR(__xludf.DUMMYFUNCTION("""COMPUTED_VALUE"""),"Saturday League")</f>
        <v>Saturday League</v>
      </c>
      <c r="K39" s="6">
        <f ca="1">IFERROR(__xludf.DUMMYFUNCTION("""COMPUTED_VALUE"""),45836)</f>
        <v>45836</v>
      </c>
      <c r="L39" s="4">
        <f ca="1">IFERROR(__xludf.DUMMYFUNCTION("""COMPUTED_VALUE"""),7)</f>
        <v>7</v>
      </c>
      <c r="M39" s="4">
        <f ca="1">IFERROR(__xludf.DUMMYFUNCTION("""COMPUTED_VALUE"""),7)</f>
        <v>7</v>
      </c>
      <c r="N39" s="8" t="str">
        <f ca="1">IFERROR(__xludf.DUMMYFUNCTION("""COMPUTED_VALUE"""),"Chris Smith")</f>
        <v>Chris Smith</v>
      </c>
      <c r="O39" s="8" t="str">
        <f ca="1">IFERROR(__xludf.DUMMYFUNCTION("""COMPUTED_VALUE"""),"Vet")</f>
        <v>Vet</v>
      </c>
      <c r="P39" s="9">
        <f ca="1">IFERROR(__xludf.DUMMYFUNCTION("""COMPUTED_VALUE"""),0.015625)</f>
        <v>1.5625E-2</v>
      </c>
      <c r="Q39" s="8" t="str">
        <f ca="1">IFERROR(__xludf.DUMMYFUNCTION("""COMPUTED_VALUE"""),"Non-aero")</f>
        <v>Non-aero</v>
      </c>
      <c r="R39" s="8">
        <f ca="1">IFERROR(__xludf.DUMMYFUNCTION("""COMPUTED_VALUE"""),54)</f>
        <v>54</v>
      </c>
      <c r="S39" s="9"/>
      <c r="T39" s="8"/>
      <c r="U39" s="8">
        <f ca="1">IFERROR(__xludf.DUMMYFUNCTION("""COMPUTED_VALUE"""),60)</f>
        <v>60</v>
      </c>
      <c r="V39" s="9">
        <f ca="1">IFERROR(__xludf.DUMMYFUNCTION("""COMPUTED_VALUE"""),0.0146446759259259)</f>
        <v>1.46446759259259E-2</v>
      </c>
      <c r="W39" s="8">
        <f ca="1">IFERROR(__xludf.DUMMYFUNCTION("""COMPUTED_VALUE"""),7)</f>
        <v>7</v>
      </c>
      <c r="X39" s="8">
        <f ca="1">IFERROR(__xludf.DUMMYFUNCTION("""COMPUTED_VALUE"""),54)</f>
        <v>54</v>
      </c>
      <c r="Y39" s="8">
        <f ca="1">IFERROR(__xludf.DUMMYFUNCTION("""COMPUTED_VALUE"""),0)</f>
        <v>0</v>
      </c>
      <c r="Z39" s="8">
        <f ca="1">IFERROR(__xludf.DUMMYFUNCTION("""COMPUTED_VALUE"""),0)</f>
        <v>0</v>
      </c>
      <c r="AA39" s="8">
        <f ca="1">IFERROR(__xludf.DUMMYFUNCTION("""COMPUTED_VALUE"""),0)</f>
        <v>0</v>
      </c>
      <c r="AB39" s="8">
        <f ca="1">IFERROR(__xludf.DUMMYFUNCTION("""COMPUTED_VALUE"""),0)</f>
        <v>0</v>
      </c>
      <c r="AC39" s="8">
        <f ca="1">IFERROR(__xludf.DUMMYFUNCTION("""COMPUTED_VALUE"""),0)</f>
        <v>0</v>
      </c>
      <c r="AD39" s="8">
        <f ca="1">IFERROR(__xludf.DUMMYFUNCTION("""COMPUTED_VALUE"""),0)</f>
        <v>0</v>
      </c>
      <c r="AE39" s="8">
        <f ca="1">IFERROR(__xludf.DUMMYFUNCTION("""COMPUTED_VALUE"""),56)</f>
        <v>56</v>
      </c>
      <c r="AF39" s="8">
        <f ca="1">IFERROR(__xludf.DUMMYFUNCTION("""COMPUTED_VALUE"""),5)</f>
        <v>5</v>
      </c>
      <c r="AG39" s="8" t="str">
        <f ca="1">IFERROR(__xludf.DUMMYFUNCTION("""COMPUTED_VALUE"""),"")</f>
        <v/>
      </c>
      <c r="AH39" s="8">
        <f ca="1">IFERROR(__xludf.DUMMYFUNCTION("""COMPUTED_VALUE"""),0)</f>
        <v>0</v>
      </c>
      <c r="AI39" s="8" t="str">
        <f ca="1">IFERROR(__xludf.DUMMYFUNCTION("""COMPUTED_VALUE"""),"")</f>
        <v/>
      </c>
      <c r="AJ39" s="8" t="str">
        <f ca="1">IFERROR(__xludf.DUMMYFUNCTION("""COMPUTED_VALUE"""),"")</f>
        <v/>
      </c>
      <c r="AK39" s="8" t="str">
        <f ca="1">IFERROR(__xludf.DUMMYFUNCTION("""COMPUTED_VALUE"""),"")</f>
        <v/>
      </c>
      <c r="AL39" s="8" t="str">
        <f ca="1">IFERROR(__xludf.DUMMYFUNCTION("""COMPUTED_VALUE"""),"")</f>
        <v/>
      </c>
      <c r="AM39" s="10" t="str">
        <f ca="1">IFERROR(__xludf.DUMMYFUNCTION("""COMPUTED_VALUE"""),"")</f>
        <v/>
      </c>
    </row>
    <row r="40" spans="1:39" x14ac:dyDescent="0.2">
      <c r="A40" s="2">
        <f ca="1">IF($G40="","",IF(ISERROR(MATCH($N40,Lge_Scratch!$B:$B,0)),1,0))</f>
        <v>0</v>
      </c>
      <c r="B40" s="2">
        <f ca="1">IF($G40="","",IF(AND(LEFT($Q40,8)="Non-aero",ISERROR(MATCH($N40,Lge_NonAero!$B:$B,0))),1,0))</f>
        <v>0</v>
      </c>
      <c r="C40" s="5">
        <f ca="1">IF($G40="","",IF(AND(LEFT($O40,3)="Wom",ISERROR(MATCH($N40,Lge_Women!$B:$B,0))),1,0))</f>
        <v>0</v>
      </c>
      <c r="D40" s="2">
        <f ca="1">IF($G40="","",IF(AND(OR($O40="Vet",$O40="Woman Vet"),ISERROR(MATCH($N40,Lge_Vets!$B:$B,0))),1,0))</f>
        <v>0</v>
      </c>
      <c r="E40" s="2">
        <f ca="1">IF($G40="","",IF(AND(OR($O40="Junior",$O40="Woman Junior",$O40="Youth",$O40="Woman Youth"),ISERROR(MATCH($N40,Lge_Junior!$B:$B,0))),1,0))</f>
        <v>0</v>
      </c>
      <c r="F40" s="2">
        <f ca="1">IF($G40="","",IF(AND(LEFT($O40,3)="You",ISERROR(MATCH($N40,Lge_Youth!$B:$B,0))),1,0))</f>
        <v>0</v>
      </c>
      <c r="G40" s="3" t="str">
        <f ca="1">IFERROR(__xludf.DUMMYFUNCTION("""COMPUTED_VALUE"""),"45836_Saturday League_7")</f>
        <v>45836_Saturday League_7</v>
      </c>
      <c r="H40" s="3" t="str">
        <f ca="1">IFERROR(__xludf.DUMMYFUNCTION("""COMPUTED_VALUE"""),"45836_Saturday League_7_8")</f>
        <v>45836_Saturday League_7_8</v>
      </c>
      <c r="I40" s="3">
        <f ca="1">IFERROR(__xludf.DUMMYFUNCTION("""COMPUTED_VALUE"""),9)</f>
        <v>9</v>
      </c>
      <c r="J40" s="3" t="str">
        <f ca="1">IFERROR(__xludf.DUMMYFUNCTION("""COMPUTED_VALUE"""),"Saturday League")</f>
        <v>Saturday League</v>
      </c>
      <c r="K40" s="6">
        <f ca="1">IFERROR(__xludf.DUMMYFUNCTION("""COMPUTED_VALUE"""),45836)</f>
        <v>45836</v>
      </c>
      <c r="L40" s="4">
        <f ca="1">IFERROR(__xludf.DUMMYFUNCTION("""COMPUTED_VALUE"""),7)</f>
        <v>7</v>
      </c>
      <c r="M40" s="4">
        <f ca="1">IFERROR(__xludf.DUMMYFUNCTION("""COMPUTED_VALUE"""),8)</f>
        <v>8</v>
      </c>
      <c r="N40" s="8" t="str">
        <f ca="1">IFERROR(__xludf.DUMMYFUNCTION("""COMPUTED_VALUE"""),"Elaine Cotton")</f>
        <v>Elaine Cotton</v>
      </c>
      <c r="O40" s="8" t="str">
        <f ca="1">IFERROR(__xludf.DUMMYFUNCTION("""COMPUTED_VALUE"""),"Woman Vet")</f>
        <v>Woman Vet</v>
      </c>
      <c r="P40" s="9">
        <f ca="1">IFERROR(__xludf.DUMMYFUNCTION("""COMPUTED_VALUE"""),0.0175578703703703)</f>
        <v>1.75578703703703E-2</v>
      </c>
      <c r="Q40" s="8" t="str">
        <f ca="1">IFERROR(__xludf.DUMMYFUNCTION("""COMPUTED_VALUE"""),"Non-aero")</f>
        <v>Non-aero</v>
      </c>
      <c r="R40" s="8">
        <f ca="1">IFERROR(__xludf.DUMMYFUNCTION("""COMPUTED_VALUE"""),53)</f>
        <v>53</v>
      </c>
      <c r="S40" s="9"/>
      <c r="T40" s="8"/>
      <c r="U40" s="8">
        <f ca="1">IFERROR(__xludf.DUMMYFUNCTION("""COMPUTED_VALUE"""),60)</f>
        <v>60</v>
      </c>
      <c r="V40" s="9">
        <f ca="1">IFERROR(__xludf.DUMMYFUNCTION("""COMPUTED_VALUE"""),0.0155810185185185)</f>
        <v>1.5581018518518499E-2</v>
      </c>
      <c r="W40" s="8">
        <f ca="1">IFERROR(__xludf.DUMMYFUNCTION("""COMPUTED_VALUE"""),8)</f>
        <v>8</v>
      </c>
      <c r="X40" s="8">
        <f ca="1">IFERROR(__xludf.DUMMYFUNCTION("""COMPUTED_VALUE"""),53)</f>
        <v>53</v>
      </c>
      <c r="Y40" s="8">
        <f ca="1">IFERROR(__xludf.DUMMYFUNCTION("""COMPUTED_VALUE"""),1)</f>
        <v>1</v>
      </c>
      <c r="Z40" s="8">
        <f ca="1">IFERROR(__xludf.DUMMYFUNCTION("""COMPUTED_VALUE"""),60)</f>
        <v>60</v>
      </c>
      <c r="AA40" s="8">
        <f ca="1">IFERROR(__xludf.DUMMYFUNCTION("""COMPUTED_VALUE"""),0)</f>
        <v>0</v>
      </c>
      <c r="AB40" s="8">
        <f ca="1">IFERROR(__xludf.DUMMYFUNCTION("""COMPUTED_VALUE"""),0)</f>
        <v>0</v>
      </c>
      <c r="AC40" s="8">
        <f ca="1">IFERROR(__xludf.DUMMYFUNCTION("""COMPUTED_VALUE"""),0)</f>
        <v>0</v>
      </c>
      <c r="AD40" s="8">
        <f ca="1">IFERROR(__xludf.DUMMYFUNCTION("""COMPUTED_VALUE"""),0)</f>
        <v>0</v>
      </c>
      <c r="AE40" s="8">
        <f ca="1">IFERROR(__xludf.DUMMYFUNCTION("""COMPUTED_VALUE"""),55)</f>
        <v>55</v>
      </c>
      <c r="AF40" s="8">
        <f ca="1">IFERROR(__xludf.DUMMYFUNCTION("""COMPUTED_VALUE"""),6)</f>
        <v>6</v>
      </c>
      <c r="AG40" s="8" t="str">
        <f ca="1">IFERROR(__xludf.DUMMYFUNCTION("""COMPUTED_VALUE"""),"")</f>
        <v/>
      </c>
      <c r="AH40" s="8">
        <f ca="1">IFERROR(__xludf.DUMMYFUNCTION("""COMPUTED_VALUE"""),0)</f>
        <v>0</v>
      </c>
      <c r="AI40" s="8" t="str">
        <f ca="1">IFERROR(__xludf.DUMMYFUNCTION("""COMPUTED_VALUE"""),"")</f>
        <v/>
      </c>
      <c r="AJ40" s="8" t="str">
        <f ca="1">IFERROR(__xludf.DUMMYFUNCTION("""COMPUTED_VALUE"""),"")</f>
        <v/>
      </c>
      <c r="AK40" s="8" t="str">
        <f ca="1">IFERROR(__xludf.DUMMYFUNCTION("""COMPUTED_VALUE"""),"")</f>
        <v/>
      </c>
      <c r="AL40" s="8" t="str">
        <f ca="1">IFERROR(__xludf.DUMMYFUNCTION("""COMPUTED_VALUE"""),"")</f>
        <v/>
      </c>
      <c r="AM40" s="10" t="str">
        <f ca="1">IFERROR(__xludf.DUMMYFUNCTION("""COMPUTED_VALUE"""),"")</f>
        <v/>
      </c>
    </row>
    <row r="41" spans="1:39" x14ac:dyDescent="0.2">
      <c r="A41" s="2">
        <f ca="1">IF($G41="","",IF(ISERROR(MATCH($N41,Lge_Scratch!$B:$B,0)),1,0))</f>
        <v>0</v>
      </c>
      <c r="B41" s="2">
        <f ca="1">IF($G41="","",IF(AND(LEFT($Q41,8)="Non-aero",ISERROR(MATCH($N41,Lge_NonAero!$B:$B,0))),1,0))</f>
        <v>0</v>
      </c>
      <c r="C41" s="5">
        <f ca="1">IF($G41="","",IF(AND(LEFT($O41,3)="Wom",ISERROR(MATCH($N41,Lge_Women!$B:$B,0))),1,0))</f>
        <v>0</v>
      </c>
      <c r="D41" s="2">
        <f ca="1">IF($G41="","",IF(AND(OR($O41="Vet",$O41="Woman Vet"),ISERROR(MATCH($N41,Lge_Vets!$B:$B,0))),1,0))</f>
        <v>0</v>
      </c>
      <c r="E41" s="2">
        <f ca="1">IF($G41="","",IF(AND(OR($O41="Junior",$O41="Woman Junior",$O41="Youth",$O41="Woman Youth"),ISERROR(MATCH($N41,Lge_Junior!$B:$B,0))),1,0))</f>
        <v>0</v>
      </c>
      <c r="F41" s="2">
        <f ca="1">IF($G41="","",IF(AND(LEFT($O41,3)="You",ISERROR(MATCH($N41,Lge_Youth!$B:$B,0))),1,0))</f>
        <v>0</v>
      </c>
      <c r="G41" s="3" t="str">
        <f ca="1">IFERROR(__xludf.DUMMYFUNCTION("""COMPUTED_VALUE"""),"45836_Saturday League_7")</f>
        <v>45836_Saturday League_7</v>
      </c>
      <c r="H41" s="3" t="str">
        <f ca="1">IFERROR(__xludf.DUMMYFUNCTION("""COMPUTED_VALUE"""),"45836_Saturday League_7_9")</f>
        <v>45836_Saturday League_7_9</v>
      </c>
      <c r="I41" s="3">
        <f ca="1">IFERROR(__xludf.DUMMYFUNCTION("""COMPUTED_VALUE"""),9)</f>
        <v>9</v>
      </c>
      <c r="J41" s="3" t="str">
        <f ca="1">IFERROR(__xludf.DUMMYFUNCTION("""COMPUTED_VALUE"""),"Saturday League")</f>
        <v>Saturday League</v>
      </c>
      <c r="K41" s="6">
        <f ca="1">IFERROR(__xludf.DUMMYFUNCTION("""COMPUTED_VALUE"""),45836)</f>
        <v>45836</v>
      </c>
      <c r="L41" s="4">
        <f ca="1">IFERROR(__xludf.DUMMYFUNCTION("""COMPUTED_VALUE"""),7)</f>
        <v>7</v>
      </c>
      <c r="M41" s="4">
        <f ca="1">IFERROR(__xludf.DUMMYFUNCTION("""COMPUTED_VALUE"""),9)</f>
        <v>9</v>
      </c>
      <c r="N41" s="8" t="str">
        <f ca="1">IFERROR(__xludf.DUMMYFUNCTION("""COMPUTED_VALUE"""),"Lloyd Simpson")</f>
        <v>Lloyd Simpson</v>
      </c>
      <c r="O41" s="8" t="str">
        <f ca="1">IFERROR(__xludf.DUMMYFUNCTION("""COMPUTED_VALUE"""),"Vet")</f>
        <v>Vet</v>
      </c>
      <c r="P41" s="9">
        <f ca="1">IFERROR(__xludf.DUMMYFUNCTION("""COMPUTED_VALUE"""),0.018125)</f>
        <v>1.8124999999999999E-2</v>
      </c>
      <c r="Q41" s="8" t="str">
        <f ca="1">IFERROR(__xludf.DUMMYFUNCTION("""COMPUTED_VALUE"""),"Non-aero PB")</f>
        <v>Non-aero PB</v>
      </c>
      <c r="R41" s="8">
        <f ca="1">IFERROR(__xludf.DUMMYFUNCTION("""COMPUTED_VALUE"""),52)</f>
        <v>52</v>
      </c>
      <c r="S41" s="9"/>
      <c r="T41" s="8"/>
      <c r="U41" s="8">
        <f ca="1">IFERROR(__xludf.DUMMYFUNCTION("""COMPUTED_VALUE"""),60)</f>
        <v>60</v>
      </c>
      <c r="V41" s="9">
        <f ca="1">IFERROR(__xludf.DUMMYFUNCTION("""COMPUTED_VALUE"""),0.0177442129629629)</f>
        <v>1.7744212962962899E-2</v>
      </c>
      <c r="W41" s="8">
        <f ca="1">IFERROR(__xludf.DUMMYFUNCTION("""COMPUTED_VALUE"""),9)</f>
        <v>9</v>
      </c>
      <c r="X41" s="8">
        <f ca="1">IFERROR(__xludf.DUMMYFUNCTION("""COMPUTED_VALUE"""),52)</f>
        <v>52</v>
      </c>
      <c r="Y41" s="8">
        <f ca="1">IFERROR(__xludf.DUMMYFUNCTION("""COMPUTED_VALUE"""),1)</f>
        <v>1</v>
      </c>
      <c r="Z41" s="8">
        <f ca="1">IFERROR(__xludf.DUMMYFUNCTION("""COMPUTED_VALUE"""),0)</f>
        <v>0</v>
      </c>
      <c r="AA41" s="8">
        <f ca="1">IFERROR(__xludf.DUMMYFUNCTION("""COMPUTED_VALUE"""),0)</f>
        <v>0</v>
      </c>
      <c r="AB41" s="8">
        <f ca="1">IFERROR(__xludf.DUMMYFUNCTION("""COMPUTED_VALUE"""),0)</f>
        <v>0</v>
      </c>
      <c r="AC41" s="8">
        <f ca="1">IFERROR(__xludf.DUMMYFUNCTION("""COMPUTED_VALUE"""),0)</f>
        <v>0</v>
      </c>
      <c r="AD41" s="8">
        <f ca="1">IFERROR(__xludf.DUMMYFUNCTION("""COMPUTED_VALUE"""),0)</f>
        <v>0</v>
      </c>
      <c r="AE41" s="8">
        <f ca="1">IFERROR(__xludf.DUMMYFUNCTION("""COMPUTED_VALUE"""),54)</f>
        <v>54</v>
      </c>
      <c r="AF41" s="8">
        <f ca="1">IFERROR(__xludf.DUMMYFUNCTION("""COMPUTED_VALUE"""),7)</f>
        <v>7</v>
      </c>
      <c r="AG41" s="8" t="str">
        <f ca="1">IFERROR(__xludf.DUMMYFUNCTION("""COMPUTED_VALUE"""),"")</f>
        <v/>
      </c>
      <c r="AH41" s="8">
        <f ca="1">IFERROR(__xludf.DUMMYFUNCTION("""COMPUTED_VALUE"""),0)</f>
        <v>0</v>
      </c>
      <c r="AI41" s="8" t="str">
        <f ca="1">IFERROR(__xludf.DUMMYFUNCTION("""COMPUTED_VALUE"""),"")</f>
        <v/>
      </c>
      <c r="AJ41" s="8" t="str">
        <f ca="1">IFERROR(__xludf.DUMMYFUNCTION("""COMPUTED_VALUE"""),"PB")</f>
        <v>PB</v>
      </c>
      <c r="AK41" s="8" t="str">
        <f ca="1">IFERROR(__xludf.DUMMYFUNCTION("""COMPUTED_VALUE"""),"")</f>
        <v/>
      </c>
      <c r="AL41" s="8" t="str">
        <f ca="1">IFERROR(__xludf.DUMMYFUNCTION("""COMPUTED_VALUE"""),"")</f>
        <v/>
      </c>
      <c r="AM41" s="10" t="str">
        <f ca="1">IFERROR(__xludf.DUMMYFUNCTION("""COMPUTED_VALUE"""),"")</f>
        <v/>
      </c>
    </row>
    <row r="42" spans="1:39" x14ac:dyDescent="0.2">
      <c r="A42" s="2" t="str">
        <f>IF($G42="","",IF(ISERROR(MATCH($N42,Lge_Scratch!$B:$B,0)),1,0))</f>
        <v/>
      </c>
      <c r="B42" s="2" t="str">
        <f>IF($G42="","",IF(AND(LEFT($Q42,8)="Non-aero",ISERROR(MATCH($N42,Lge_NonAero!$B:$B,0))),1,0))</f>
        <v/>
      </c>
      <c r="C42" s="5" t="str">
        <f>IF($G42="","",IF(AND(LEFT($O42,3)="Wom",ISERROR(MATCH($N42,Lge_Women!$B:$B,0))),1,0))</f>
        <v/>
      </c>
      <c r="D42" s="2" t="str">
        <f>IF($G42="","",IF(AND(OR($O42="Vet",$O42="Woman Vet"),ISERROR(MATCH($N42,Lge_Vets!$B:$B,0))),1,0))</f>
        <v/>
      </c>
      <c r="E42" s="2" t="str">
        <f>IF($G42="","",IF(AND(OR($O42="Junior",$O42="Woman Junior",$O42="Youth",$O42="Woman Youth"),ISERROR(MATCH($N42,Lge_Junior!$B:$B,0))),1,0))</f>
        <v/>
      </c>
      <c r="F42" s="2" t="str">
        <f>IF($G42="","",IF(AND(LEFT($O42,3)="You",ISERROR(MATCH($N42,Lge_Youth!$B:$B,0))),1,0))</f>
        <v/>
      </c>
      <c r="G42" s="3"/>
      <c r="H42" s="3"/>
      <c r="I42" s="3"/>
      <c r="J42" s="3"/>
      <c r="K42" s="6"/>
      <c r="L42" s="4"/>
      <c r="M42" s="4"/>
      <c r="N42" s="8"/>
      <c r="O42" s="8"/>
      <c r="P42" s="9"/>
      <c r="Q42" s="8"/>
      <c r="R42" s="8"/>
      <c r="S42" s="9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10"/>
    </row>
    <row r="43" spans="1:39" x14ac:dyDescent="0.2">
      <c r="A43" s="2" t="str">
        <f>IF($G43="","",IF(ISERROR(MATCH($N43,Lge_Scratch!$B:$B,0)),1,0))</f>
        <v/>
      </c>
      <c r="B43" s="2" t="str">
        <f>IF($G43="","",IF(AND(LEFT($Q43,8)="Non-aero",ISERROR(MATCH($N43,Lge_NonAero!$B:$B,0))),1,0))</f>
        <v/>
      </c>
      <c r="C43" s="5" t="str">
        <f>IF($G43="","",IF(AND(LEFT($O43,3)="Wom",ISERROR(MATCH($N43,Lge_Women!$B:$B,0))),1,0))</f>
        <v/>
      </c>
      <c r="D43" s="2" t="str">
        <f>IF($G43="","",IF(AND(OR($O43="Vet",$O43="Woman Vet"),ISERROR(MATCH($N43,Lge_Vets!$B:$B,0))),1,0))</f>
        <v/>
      </c>
      <c r="E43" s="2" t="str">
        <f>IF($G43="","",IF(AND(OR($O43="Junior",$O43="Woman Junior",$O43="Youth",$O43="Woman Youth"),ISERROR(MATCH($N43,Lge_Junior!$B:$B,0))),1,0))</f>
        <v/>
      </c>
      <c r="F43" s="2" t="str">
        <f>IF($G43="","",IF(AND(LEFT($O43,3)="You",ISERROR(MATCH($N43,Lge_Youth!$B:$B,0))),1,0))</f>
        <v/>
      </c>
      <c r="G43" s="3"/>
      <c r="H43" s="3"/>
      <c r="I43" s="3"/>
      <c r="J43" s="3"/>
      <c r="K43" s="6"/>
      <c r="L43" s="4"/>
      <c r="M43" s="4"/>
      <c r="N43" s="8"/>
      <c r="O43" s="8"/>
      <c r="P43" s="9"/>
      <c r="Q43" s="8"/>
      <c r="R43" s="8"/>
      <c r="S43" s="9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10"/>
    </row>
    <row r="44" spans="1:39" x14ac:dyDescent="0.2">
      <c r="A44" s="2" t="str">
        <f>IF($G44="","",IF(ISERROR(MATCH($N44,Lge_Scratch!$B:$B,0)),1,0))</f>
        <v/>
      </c>
      <c r="B44" s="2" t="str">
        <f>IF($G44="","",IF(AND(LEFT($Q44,8)="Non-aero",ISERROR(MATCH($N44,Lge_NonAero!$B:$B,0))),1,0))</f>
        <v/>
      </c>
      <c r="C44" s="5" t="str">
        <f>IF($G44="","",IF(AND(LEFT($O44,3)="Wom",ISERROR(MATCH($N44,Lge_Women!$B:$B,0))),1,0))</f>
        <v/>
      </c>
      <c r="D44" s="2" t="str">
        <f>IF($G44="","",IF(AND(OR($O44="Vet",$O44="Woman Vet"),ISERROR(MATCH($N44,Lge_Vets!$B:$B,0))),1,0))</f>
        <v/>
      </c>
      <c r="E44" s="2" t="str">
        <f>IF($G44="","",IF(AND(OR($O44="Junior",$O44="Woman Junior",$O44="Youth",$O44="Woman Youth"),ISERROR(MATCH($N44,Lge_Junior!$B:$B,0))),1,0))</f>
        <v/>
      </c>
      <c r="F44" s="2" t="str">
        <f>IF($G44="","",IF(AND(LEFT($O44,3)="You",ISERROR(MATCH($N44,Lge_Youth!$B:$B,0))),1,0))</f>
        <v/>
      </c>
      <c r="G44" s="3"/>
      <c r="H44" s="3"/>
      <c r="I44" s="3"/>
      <c r="J44" s="3"/>
      <c r="K44" s="6"/>
      <c r="L44" s="4"/>
      <c r="M44" s="4"/>
      <c r="N44" s="8"/>
      <c r="O44" s="8"/>
      <c r="P44" s="9"/>
      <c r="Q44" s="8"/>
      <c r="R44" s="8"/>
      <c r="S44" s="9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10"/>
    </row>
    <row r="45" spans="1:39" x14ac:dyDescent="0.2">
      <c r="A45" s="2" t="str">
        <f>IF($G45="","",IF(ISERROR(MATCH($N45,Lge_Scratch!$B:$B,0)),1,0))</f>
        <v/>
      </c>
      <c r="B45" s="2" t="str">
        <f>IF($G45="","",IF(AND(LEFT($Q45,8)="Non-aero",ISERROR(MATCH($N45,Lge_NonAero!$B:$B,0))),1,0))</f>
        <v/>
      </c>
      <c r="C45" s="5" t="str">
        <f>IF($G45="","",IF(AND(LEFT($O45,3)="Wom",ISERROR(MATCH($N45,Lge_Women!$B:$B,0))),1,0))</f>
        <v/>
      </c>
      <c r="D45" s="2" t="str">
        <f>IF($G45="","",IF(AND(OR($O45="Vet",$O45="Woman Vet"),ISERROR(MATCH($N45,Lge_Vets!$B:$B,0))),1,0))</f>
        <v/>
      </c>
      <c r="E45" s="2" t="str">
        <f>IF($G45="","",IF(AND(OR($O45="Junior",$O45="Woman Junior",$O45="Youth",$O45="Woman Youth"),ISERROR(MATCH($N45,Lge_Junior!$B:$B,0))),1,0))</f>
        <v/>
      </c>
      <c r="F45" s="2" t="str">
        <f>IF($G45="","",IF(AND(LEFT($O45,3)="You",ISERROR(MATCH($N45,Lge_Youth!$B:$B,0))),1,0))</f>
        <v/>
      </c>
      <c r="G45" s="3"/>
      <c r="H45" s="3"/>
      <c r="I45" s="3"/>
      <c r="J45" s="3"/>
      <c r="K45" s="6"/>
      <c r="L45" s="4"/>
      <c r="M45" s="4"/>
      <c r="N45" s="8"/>
      <c r="O45" s="8"/>
      <c r="P45" s="9"/>
      <c r="Q45" s="8"/>
      <c r="R45" s="8"/>
      <c r="S45" s="9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10"/>
    </row>
    <row r="46" spans="1:39" x14ac:dyDescent="0.2">
      <c r="A46" s="2" t="str">
        <f>IF($G46="","",IF(ISERROR(MATCH($N46,Lge_Scratch!$B:$B,0)),1,0))</f>
        <v/>
      </c>
      <c r="B46" s="2" t="str">
        <f>IF($G46="","",IF(AND(LEFT($Q46,8)="Non-aero",ISERROR(MATCH($N46,Lge_NonAero!$B:$B,0))),1,0))</f>
        <v/>
      </c>
      <c r="C46" s="5" t="str">
        <f>IF($G46="","",IF(AND(LEFT($O46,3)="Wom",ISERROR(MATCH($N46,Lge_Women!$B:$B,0))),1,0))</f>
        <v/>
      </c>
      <c r="D46" s="2" t="str">
        <f>IF($G46="","",IF(AND(OR($O46="Vet",$O46="Woman Vet"),ISERROR(MATCH($N46,Lge_Vets!$B:$B,0))),1,0))</f>
        <v/>
      </c>
      <c r="E46" s="2" t="str">
        <f>IF($G46="","",IF(AND(OR($O46="Junior",$O46="Woman Junior",$O46="Youth",$O46="Woman Youth"),ISERROR(MATCH($N46,Lge_Junior!$B:$B,0))),1,0))</f>
        <v/>
      </c>
      <c r="F46" s="2" t="str">
        <f>IF($G46="","",IF(AND(LEFT($O46,3)="You",ISERROR(MATCH($N46,Lge_Youth!$B:$B,0))),1,0))</f>
        <v/>
      </c>
      <c r="G46" s="3"/>
      <c r="H46" s="3"/>
      <c r="I46" s="3"/>
      <c r="J46" s="3"/>
      <c r="K46" s="6"/>
      <c r="L46" s="4"/>
      <c r="M46" s="4"/>
      <c r="N46" s="8"/>
      <c r="O46" s="8"/>
      <c r="P46" s="9"/>
      <c r="Q46" s="8"/>
      <c r="R46" s="8"/>
      <c r="S46" s="9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10"/>
    </row>
    <row r="47" spans="1:39" x14ac:dyDescent="0.2">
      <c r="A47" s="2" t="str">
        <f>IF($G47="","",IF(ISERROR(MATCH($N47,Lge_Scratch!$B:$B,0)),1,0))</f>
        <v/>
      </c>
      <c r="B47" s="2" t="str">
        <f>IF($G47="","",IF(AND(LEFT($Q47,8)="Non-aero",ISERROR(MATCH($N47,Lge_NonAero!$B:$B,0))),1,0))</f>
        <v/>
      </c>
      <c r="C47" s="5" t="str">
        <f>IF($G47="","",IF(AND(LEFT($O47,3)="Wom",ISERROR(MATCH($N47,Lge_Women!$B:$B,0))),1,0))</f>
        <v/>
      </c>
      <c r="D47" s="2" t="str">
        <f>IF($G47="","",IF(AND(OR($O47="Vet",$O47="Woman Vet"),ISERROR(MATCH($N47,Lge_Vets!$B:$B,0))),1,0))</f>
        <v/>
      </c>
      <c r="E47" s="2" t="str">
        <f>IF($G47="","",IF(AND(OR($O47="Junior",$O47="Woman Junior",$O47="Youth",$O47="Woman Youth"),ISERROR(MATCH($N47,Lge_Junior!$B:$B,0))),1,0))</f>
        <v/>
      </c>
      <c r="F47" s="2" t="str">
        <f>IF($G47="","",IF(AND(LEFT($O47,3)="You",ISERROR(MATCH($N47,Lge_Youth!$B:$B,0))),1,0))</f>
        <v/>
      </c>
      <c r="G47" s="3"/>
      <c r="H47" s="3"/>
      <c r="I47" s="3"/>
      <c r="J47" s="3"/>
      <c r="K47" s="6"/>
      <c r="L47" s="4"/>
      <c r="M47" s="4"/>
      <c r="N47" s="8"/>
      <c r="O47" s="8"/>
      <c r="P47" s="9"/>
      <c r="Q47" s="8"/>
      <c r="R47" s="8"/>
      <c r="S47" s="9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10"/>
    </row>
    <row r="48" spans="1:39" x14ac:dyDescent="0.2">
      <c r="A48" s="2" t="str">
        <f>IF($G48="","",IF(ISERROR(MATCH($N48,Lge_Scratch!$B:$B,0)),1,0))</f>
        <v/>
      </c>
      <c r="B48" s="2" t="str">
        <f>IF($G48="","",IF(AND(LEFT($Q48,8)="Non-aero",ISERROR(MATCH($N48,Lge_NonAero!$B:$B,0))),1,0))</f>
        <v/>
      </c>
      <c r="C48" s="5" t="str">
        <f>IF($G48="","",IF(AND(LEFT($O48,3)="Wom",ISERROR(MATCH($N48,Lge_Women!$B:$B,0))),1,0))</f>
        <v/>
      </c>
      <c r="D48" s="2" t="str">
        <f>IF($G48="","",IF(AND(OR($O48="Vet",$O48="Woman Vet"),ISERROR(MATCH($N48,Lge_Vets!$B:$B,0))),1,0))</f>
        <v/>
      </c>
      <c r="E48" s="2" t="str">
        <f>IF($G48="","",IF(AND(OR($O48="Junior",$O48="Woman Junior",$O48="Youth",$O48="Woman Youth"),ISERROR(MATCH($N48,Lge_Junior!$B:$B,0))),1,0))</f>
        <v/>
      </c>
      <c r="F48" s="2" t="str">
        <f>IF($G48="","",IF(AND(LEFT($O48,3)="You",ISERROR(MATCH($N48,Lge_Youth!$B:$B,0))),1,0))</f>
        <v/>
      </c>
      <c r="G48" s="3"/>
      <c r="H48" s="3"/>
      <c r="I48" s="3"/>
      <c r="J48" s="3"/>
      <c r="K48" s="6"/>
      <c r="L48" s="4"/>
      <c r="M48" s="4"/>
      <c r="N48" s="8"/>
      <c r="O48" s="8"/>
      <c r="P48" s="9"/>
      <c r="Q48" s="8"/>
      <c r="R48" s="8"/>
      <c r="S48" s="9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10"/>
    </row>
    <row r="49" spans="1:39" x14ac:dyDescent="0.2">
      <c r="A49" s="2" t="str">
        <f>IF($G49="","",IF(ISERROR(MATCH($N49,Lge_Scratch!$B:$B,0)),1,0))</f>
        <v/>
      </c>
      <c r="B49" s="2" t="str">
        <f>IF($G49="","",IF(AND(LEFT($Q49,8)="Non-aero",ISERROR(MATCH($N49,Lge_NonAero!$B:$B,0))),1,0))</f>
        <v/>
      </c>
      <c r="C49" s="5" t="str">
        <f>IF($G49="","",IF(AND(LEFT($O49,3)="Wom",ISERROR(MATCH($N49,Lge_Women!$B:$B,0))),1,0))</f>
        <v/>
      </c>
      <c r="D49" s="2" t="str">
        <f>IF($G49="","",IF(AND(OR($O49="Vet",$O49="Woman Vet"),ISERROR(MATCH($N49,Lge_Vets!$B:$B,0))),1,0))</f>
        <v/>
      </c>
      <c r="E49" s="2" t="str">
        <f>IF($G49="","",IF(AND(OR($O49="Junior",$O49="Woman Junior",$O49="Youth",$O49="Woman Youth"),ISERROR(MATCH($N49,Lge_Junior!$B:$B,0))),1,0))</f>
        <v/>
      </c>
      <c r="F49" s="2" t="str">
        <f>IF($G49="","",IF(AND(LEFT($O49,3)="You",ISERROR(MATCH($N49,Lge_Youth!$B:$B,0))),1,0))</f>
        <v/>
      </c>
      <c r="G49" s="3"/>
      <c r="H49" s="3"/>
      <c r="I49" s="3"/>
      <c r="J49" s="3"/>
      <c r="K49" s="6"/>
      <c r="L49" s="4"/>
      <c r="M49" s="4"/>
      <c r="N49" s="8"/>
      <c r="O49" s="8"/>
      <c r="P49" s="9"/>
      <c r="Q49" s="8"/>
      <c r="R49" s="8"/>
      <c r="S49" s="9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10"/>
    </row>
    <row r="50" spans="1:39" x14ac:dyDescent="0.2">
      <c r="A50" s="2" t="str">
        <f>IF($G50="","",IF(ISERROR(MATCH($N50,Lge_Scratch!$B:$B,0)),1,0))</f>
        <v/>
      </c>
      <c r="B50" s="2" t="str">
        <f>IF($G50="","",IF(AND(LEFT($Q50,8)="Non-aero",ISERROR(MATCH($N50,Lge_NonAero!$B:$B,0))),1,0))</f>
        <v/>
      </c>
      <c r="C50" s="5" t="str">
        <f>IF($G50="","",IF(AND(LEFT($O50,3)="Wom",ISERROR(MATCH($N50,Lge_Women!$B:$B,0))),1,0))</f>
        <v/>
      </c>
      <c r="D50" s="2" t="str">
        <f>IF($G50="","",IF(AND(OR($O50="Vet",$O50="Woman Vet"),ISERROR(MATCH($N50,Lge_Vets!$B:$B,0))),1,0))</f>
        <v/>
      </c>
      <c r="E50" s="2" t="str">
        <f>IF($G50="","",IF(AND(OR($O50="Junior",$O50="Woman Junior",$O50="Youth",$O50="Woman Youth"),ISERROR(MATCH($N50,Lge_Junior!$B:$B,0))),1,0))</f>
        <v/>
      </c>
      <c r="F50" s="2" t="str">
        <f>IF($G50="","",IF(AND(LEFT($O50,3)="You",ISERROR(MATCH($N50,Lge_Youth!$B:$B,0))),1,0))</f>
        <v/>
      </c>
      <c r="G50" s="3"/>
      <c r="H50" s="3"/>
      <c r="I50" s="3"/>
      <c r="J50" s="3"/>
      <c r="K50" s="6"/>
      <c r="L50" s="4"/>
      <c r="M50" s="4"/>
      <c r="N50" s="8"/>
      <c r="O50" s="8"/>
      <c r="P50" s="9"/>
      <c r="Q50" s="8"/>
      <c r="R50" s="8"/>
      <c r="S50" s="9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10"/>
    </row>
    <row r="51" spans="1:39" x14ac:dyDescent="0.2">
      <c r="A51" s="2" t="str">
        <f>IF($G51="","",IF(ISERROR(MATCH($N51,Lge_Scratch!$B:$B,0)),1,0))</f>
        <v/>
      </c>
      <c r="B51" s="2" t="str">
        <f>IF($G51="","",IF(AND(LEFT($Q51,8)="Non-aero",ISERROR(MATCH($N51,Lge_NonAero!$B:$B,0))),1,0))</f>
        <v/>
      </c>
      <c r="C51" s="5" t="str">
        <f>IF($G51="","",IF(AND(LEFT($O51,3)="Wom",ISERROR(MATCH($N51,Lge_Women!$B:$B,0))),1,0))</f>
        <v/>
      </c>
      <c r="D51" s="2" t="str">
        <f>IF($G51="","",IF(AND(OR($O51="Vet",$O51="Woman Vet"),ISERROR(MATCH($N51,Lge_Vets!$B:$B,0))),1,0))</f>
        <v/>
      </c>
      <c r="E51" s="2" t="str">
        <f>IF($G51="","",IF(AND(OR($O51="Junior",$O51="Woman Junior",$O51="Youth",$O51="Woman Youth"),ISERROR(MATCH($N51,Lge_Junior!$B:$B,0))),1,0))</f>
        <v/>
      </c>
      <c r="F51" s="2" t="str">
        <f>IF($G51="","",IF(AND(LEFT($O51,3)="You",ISERROR(MATCH($N51,Lge_Youth!$B:$B,0))),1,0))</f>
        <v/>
      </c>
      <c r="G51" s="3"/>
      <c r="H51" s="3"/>
      <c r="I51" s="3"/>
      <c r="J51" s="3"/>
      <c r="K51" s="6"/>
      <c r="L51" s="4"/>
      <c r="M51" s="4"/>
      <c r="N51" s="8"/>
      <c r="O51" s="8"/>
      <c r="P51" s="9"/>
      <c r="Q51" s="8"/>
      <c r="R51" s="8"/>
      <c r="S51" s="9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10"/>
    </row>
    <row r="52" spans="1:39" x14ac:dyDescent="0.2">
      <c r="A52" s="2" t="str">
        <f>IF($G52="","",IF(ISERROR(MATCH($N52,Lge_Scratch!$B:$B,0)),1,0))</f>
        <v/>
      </c>
      <c r="B52" s="2" t="str">
        <f>IF($G52="","",IF(AND(LEFT($Q52,8)="Non-aero",ISERROR(MATCH($N52,Lge_NonAero!$B:$B,0))),1,0))</f>
        <v/>
      </c>
      <c r="C52" s="5" t="str">
        <f>IF($G52="","",IF(AND(LEFT($O52,3)="Wom",ISERROR(MATCH($N52,Lge_Women!$B:$B,0))),1,0))</f>
        <v/>
      </c>
      <c r="D52" s="2" t="str">
        <f>IF($G52="","",IF(AND(OR($O52="Vet",$O52="Woman Vet"),ISERROR(MATCH($N52,Lge_Vets!$B:$B,0))),1,0))</f>
        <v/>
      </c>
      <c r="E52" s="2" t="str">
        <f>IF($G52="","",IF(AND(OR($O52="Junior",$O52="Woman Junior",$O52="Youth",$O52="Woman Youth"),ISERROR(MATCH($N52,Lge_Junior!$B:$B,0))),1,0))</f>
        <v/>
      </c>
      <c r="F52" s="2" t="str">
        <f>IF($G52="","",IF(AND(LEFT($O52,3)="You",ISERROR(MATCH($N52,Lge_Youth!$B:$B,0))),1,0))</f>
        <v/>
      </c>
      <c r="G52" s="3"/>
      <c r="H52" s="3"/>
      <c r="I52" s="3"/>
      <c r="J52" s="3"/>
      <c r="K52" s="6"/>
      <c r="L52" s="4"/>
      <c r="M52" s="4"/>
      <c r="N52" s="8"/>
      <c r="O52" s="8"/>
      <c r="P52" s="9"/>
      <c r="Q52" s="8"/>
      <c r="R52" s="8"/>
      <c r="S52" s="9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10"/>
    </row>
    <row r="53" spans="1:39" x14ac:dyDescent="0.2">
      <c r="A53" s="2" t="str">
        <f>IF($G53="","",IF(ISERROR(MATCH($N53,Lge_Scratch!$B:$B,0)),1,0))</f>
        <v/>
      </c>
      <c r="B53" s="2" t="str">
        <f>IF($G53="","",IF(AND(LEFT($Q53,8)="Non-aero",ISERROR(MATCH($N53,Lge_NonAero!$B:$B,0))),1,0))</f>
        <v/>
      </c>
      <c r="C53" s="5" t="str">
        <f>IF($G53="","",IF(AND(LEFT($O53,3)="Wom",ISERROR(MATCH($N53,Lge_Women!$B:$B,0))),1,0))</f>
        <v/>
      </c>
      <c r="D53" s="2" t="str">
        <f>IF($G53="","",IF(AND(OR($O53="Vet",$O53="Woman Vet"),ISERROR(MATCH($N53,Lge_Vets!$B:$B,0))),1,0))</f>
        <v/>
      </c>
      <c r="E53" s="2" t="str">
        <f>IF($G53="","",IF(AND(OR($O53="Junior",$O53="Woman Junior",$O53="Youth",$O53="Woman Youth"),ISERROR(MATCH($N53,Lge_Junior!$B:$B,0))),1,0))</f>
        <v/>
      </c>
      <c r="F53" s="2" t="str">
        <f>IF($G53="","",IF(AND(LEFT($O53,3)="You",ISERROR(MATCH($N53,Lge_Youth!$B:$B,0))),1,0))</f>
        <v/>
      </c>
      <c r="G53" s="3"/>
      <c r="H53" s="3"/>
      <c r="I53" s="3"/>
      <c r="J53" s="3"/>
      <c r="K53" s="6"/>
      <c r="L53" s="4"/>
      <c r="M53" s="4"/>
      <c r="N53" s="8"/>
      <c r="O53" s="8"/>
      <c r="P53" s="9"/>
      <c r="Q53" s="8"/>
      <c r="R53" s="8"/>
      <c r="S53" s="9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10"/>
    </row>
    <row r="54" spans="1:39" x14ac:dyDescent="0.2">
      <c r="A54" s="2" t="str">
        <f>IF($G54="","",IF(ISERROR(MATCH($N54,Lge_Scratch!$B:$B,0)),1,0))</f>
        <v/>
      </c>
      <c r="B54" s="2" t="str">
        <f>IF($G54="","",IF(AND(LEFT($Q54,8)="Non-aero",ISERROR(MATCH($N54,Lge_NonAero!$B:$B,0))),1,0))</f>
        <v/>
      </c>
      <c r="C54" s="5" t="str">
        <f>IF($G54="","",IF(AND(LEFT($O54,3)="Wom",ISERROR(MATCH($N54,Lge_Women!$B:$B,0))),1,0))</f>
        <v/>
      </c>
      <c r="D54" s="2" t="str">
        <f>IF($G54="","",IF(AND(OR($O54="Vet",$O54="Woman Vet"),ISERROR(MATCH($N54,Lge_Vets!$B:$B,0))),1,0))</f>
        <v/>
      </c>
      <c r="E54" s="2" t="str">
        <f>IF($G54="","",IF(AND(OR($O54="Junior",$O54="Woman Junior",$O54="Youth",$O54="Woman Youth"),ISERROR(MATCH($N54,Lge_Junior!$B:$B,0))),1,0))</f>
        <v/>
      </c>
      <c r="F54" s="2" t="str">
        <f>IF($G54="","",IF(AND(LEFT($O54,3)="You",ISERROR(MATCH($N54,Lge_Youth!$B:$B,0))),1,0))</f>
        <v/>
      </c>
      <c r="G54" s="3"/>
      <c r="H54" s="3"/>
      <c r="I54" s="3"/>
      <c r="J54" s="3"/>
      <c r="K54" s="6"/>
      <c r="L54" s="4"/>
      <c r="M54" s="4"/>
      <c r="N54" s="8"/>
      <c r="O54" s="8"/>
      <c r="P54" s="9"/>
      <c r="Q54" s="8"/>
      <c r="R54" s="8"/>
      <c r="S54" s="9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10"/>
    </row>
    <row r="55" spans="1:39" x14ac:dyDescent="0.2">
      <c r="A55" s="2" t="str">
        <f>IF($G55="","",IF(ISERROR(MATCH($N55,Lge_Scratch!$B:$B,0)),1,0))</f>
        <v/>
      </c>
      <c r="B55" s="2" t="str">
        <f>IF($G55="","",IF(AND(LEFT($Q55,8)="Non-aero",ISERROR(MATCH($N55,Lge_NonAero!$B:$B,0))),1,0))</f>
        <v/>
      </c>
      <c r="C55" s="5" t="str">
        <f>IF($G55="","",IF(AND(LEFT($O55,3)="Wom",ISERROR(MATCH($N55,Lge_Women!$B:$B,0))),1,0))</f>
        <v/>
      </c>
      <c r="D55" s="2" t="str">
        <f>IF($G55="","",IF(AND(OR($O55="Vet",$O55="Woman Vet"),ISERROR(MATCH($N55,Lge_Vets!$B:$B,0))),1,0))</f>
        <v/>
      </c>
      <c r="E55" s="2" t="str">
        <f>IF($G55="","",IF(AND(OR($O55="Junior",$O55="Woman Junior",$O55="Youth",$O55="Woman Youth"),ISERROR(MATCH($N55,Lge_Junior!$B:$B,0))),1,0))</f>
        <v/>
      </c>
      <c r="F55" s="2" t="str">
        <f>IF($G55="","",IF(AND(LEFT($O55,3)="You",ISERROR(MATCH($N55,Lge_Youth!$B:$B,0))),1,0))</f>
        <v/>
      </c>
      <c r="G55" s="3"/>
      <c r="H55" s="3"/>
      <c r="I55" s="3"/>
      <c r="J55" s="3"/>
      <c r="K55" s="6"/>
      <c r="L55" s="4"/>
      <c r="M55" s="4"/>
      <c r="N55" s="8"/>
      <c r="O55" s="8"/>
      <c r="P55" s="9"/>
      <c r="Q55" s="8"/>
      <c r="R55" s="8"/>
      <c r="S55" s="9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10"/>
    </row>
    <row r="56" spans="1:39" x14ac:dyDescent="0.2">
      <c r="A56" s="2" t="str">
        <f>IF($G56="","",IF(ISERROR(MATCH($N56,Lge_Scratch!$B:$B,0)),1,0))</f>
        <v/>
      </c>
      <c r="B56" s="2" t="str">
        <f>IF($G56="","",IF(AND(LEFT($Q56,8)="Non-aero",ISERROR(MATCH($N56,Lge_NonAero!$B:$B,0))),1,0))</f>
        <v/>
      </c>
      <c r="C56" s="5" t="str">
        <f>IF($G56="","",IF(AND(LEFT($O56,3)="Wom",ISERROR(MATCH($N56,Lge_Women!$B:$B,0))),1,0))</f>
        <v/>
      </c>
      <c r="D56" s="2" t="str">
        <f>IF($G56="","",IF(AND(OR($O56="Vet",$O56="Woman Vet"),ISERROR(MATCH($N56,Lge_Vets!$B:$B,0))),1,0))</f>
        <v/>
      </c>
      <c r="E56" s="2" t="str">
        <f>IF($G56="","",IF(AND(OR($O56="Junior",$O56="Woman Junior",$O56="Youth",$O56="Woman Youth"),ISERROR(MATCH($N56,Lge_Junior!$B:$B,0))),1,0))</f>
        <v/>
      </c>
      <c r="F56" s="2" t="str">
        <f>IF($G56="","",IF(AND(LEFT($O56,3)="You",ISERROR(MATCH($N56,Lge_Youth!$B:$B,0))),1,0))</f>
        <v/>
      </c>
      <c r="G56" s="3"/>
      <c r="H56" s="3"/>
      <c r="I56" s="3"/>
      <c r="J56" s="3"/>
      <c r="K56" s="6"/>
      <c r="L56" s="4"/>
      <c r="M56" s="4"/>
      <c r="N56" s="8"/>
      <c r="O56" s="8"/>
      <c r="P56" s="9"/>
      <c r="Q56" s="8"/>
      <c r="R56" s="8"/>
      <c r="S56" s="9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10"/>
    </row>
    <row r="57" spans="1:39" x14ac:dyDescent="0.2">
      <c r="A57" s="2" t="str">
        <f>IF($G57="","",IF(ISERROR(MATCH($N57,Lge_Scratch!$B:$B,0)),1,0))</f>
        <v/>
      </c>
      <c r="B57" s="2" t="str">
        <f>IF($G57="","",IF(AND(LEFT($Q57,8)="Non-aero",ISERROR(MATCH($N57,Lge_NonAero!$B:$B,0))),1,0))</f>
        <v/>
      </c>
      <c r="C57" s="5" t="str">
        <f>IF($G57="","",IF(AND(LEFT($O57,3)="Wom",ISERROR(MATCH($N57,Lge_Women!$B:$B,0))),1,0))</f>
        <v/>
      </c>
      <c r="D57" s="2" t="str">
        <f>IF($G57="","",IF(AND(OR($O57="Vet",$O57="Woman Vet"),ISERROR(MATCH($N57,Lge_Vets!$B:$B,0))),1,0))</f>
        <v/>
      </c>
      <c r="E57" s="2" t="str">
        <f>IF($G57="","",IF(AND(OR($O57="Junior",$O57="Woman Junior",$O57="Youth",$O57="Woman Youth"),ISERROR(MATCH($N57,Lge_Junior!$B:$B,0))),1,0))</f>
        <v/>
      </c>
      <c r="F57" s="2" t="str">
        <f>IF($G57="","",IF(AND(LEFT($O57,3)="You",ISERROR(MATCH($N57,Lge_Youth!$B:$B,0))),1,0))</f>
        <v/>
      </c>
      <c r="G57" s="3"/>
      <c r="H57" s="3"/>
      <c r="I57" s="3"/>
      <c r="J57" s="3"/>
      <c r="K57" s="6"/>
      <c r="L57" s="4"/>
      <c r="M57" s="4"/>
      <c r="N57" s="8"/>
      <c r="O57" s="8"/>
      <c r="P57" s="9"/>
      <c r="Q57" s="8"/>
      <c r="R57" s="8"/>
      <c r="S57" s="9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10"/>
    </row>
    <row r="58" spans="1:39" x14ac:dyDescent="0.2">
      <c r="A58" s="2" t="str">
        <f>IF($G58="","",IF(ISERROR(MATCH($N58,Lge_Scratch!$B:$B,0)),1,0))</f>
        <v/>
      </c>
      <c r="B58" s="2" t="str">
        <f>IF($G58="","",IF(AND(LEFT($Q58,8)="Non-aero",ISERROR(MATCH($N58,Lge_NonAero!$B:$B,0))),1,0))</f>
        <v/>
      </c>
      <c r="C58" s="5" t="str">
        <f>IF($G58="","",IF(AND(LEFT($O58,3)="Wom",ISERROR(MATCH($N58,Lge_Women!$B:$B,0))),1,0))</f>
        <v/>
      </c>
      <c r="D58" s="2" t="str">
        <f>IF($G58="","",IF(AND(OR($O58="Vet",$O58="Woman Vet"),ISERROR(MATCH($N58,Lge_Vets!$B:$B,0))),1,0))</f>
        <v/>
      </c>
      <c r="E58" s="2" t="str">
        <f>IF($G58="","",IF(AND(OR($O58="Junior",$O58="Woman Junior",$O58="Youth",$O58="Woman Youth"),ISERROR(MATCH($N58,Lge_Junior!$B:$B,0))),1,0))</f>
        <v/>
      </c>
      <c r="F58" s="2" t="str">
        <f>IF($G58="","",IF(AND(LEFT($O58,3)="You",ISERROR(MATCH($N58,Lge_Youth!$B:$B,0))),1,0))</f>
        <v/>
      </c>
      <c r="G58" s="3"/>
      <c r="H58" s="3"/>
      <c r="I58" s="3"/>
      <c r="J58" s="3"/>
      <c r="K58" s="6"/>
      <c r="L58" s="4"/>
      <c r="M58" s="4"/>
      <c r="N58" s="8"/>
      <c r="O58" s="8"/>
      <c r="P58" s="9"/>
      <c r="Q58" s="8"/>
      <c r="R58" s="8"/>
      <c r="S58" s="9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10"/>
    </row>
    <row r="59" spans="1:39" x14ac:dyDescent="0.2">
      <c r="A59" s="2" t="str">
        <f>IF($G59="","",IF(ISERROR(MATCH($N59,Lge_Scratch!$B:$B,0)),1,0))</f>
        <v/>
      </c>
      <c r="B59" s="2" t="str">
        <f>IF($G59="","",IF(AND(LEFT($Q59,8)="Non-aero",ISERROR(MATCH($N59,Lge_NonAero!$B:$B,0))),1,0))</f>
        <v/>
      </c>
      <c r="C59" s="5" t="str">
        <f>IF($G59="","",IF(AND(LEFT($O59,3)="Wom",ISERROR(MATCH($N59,Lge_Women!$B:$B,0))),1,0))</f>
        <v/>
      </c>
      <c r="D59" s="2" t="str">
        <f>IF($G59="","",IF(AND(OR($O59="Vet",$O59="Woman Vet"),ISERROR(MATCH($N59,Lge_Vets!$B:$B,0))),1,0))</f>
        <v/>
      </c>
      <c r="E59" s="2" t="str">
        <f>IF($G59="","",IF(AND(OR($O59="Junior",$O59="Woman Junior",$O59="Youth",$O59="Woman Youth"),ISERROR(MATCH($N59,Lge_Junior!$B:$B,0))),1,0))</f>
        <v/>
      </c>
      <c r="F59" s="2" t="str">
        <f>IF($G59="","",IF(AND(LEFT($O59,3)="You",ISERROR(MATCH($N59,Lge_Youth!$B:$B,0))),1,0))</f>
        <v/>
      </c>
      <c r="G59" s="3"/>
      <c r="H59" s="3"/>
      <c r="I59" s="3"/>
      <c r="J59" s="3"/>
      <c r="K59" s="6"/>
      <c r="L59" s="4"/>
      <c r="M59" s="4"/>
      <c r="N59" s="8"/>
      <c r="O59" s="8"/>
      <c r="P59" s="9"/>
      <c r="Q59" s="8"/>
      <c r="R59" s="8"/>
      <c r="S59" s="9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10"/>
    </row>
    <row r="60" spans="1:39" x14ac:dyDescent="0.2">
      <c r="A60" s="2" t="str">
        <f>IF($G60="","",IF(ISERROR(MATCH($N60,Lge_Scratch!$B:$B,0)),1,0))</f>
        <v/>
      </c>
      <c r="B60" s="2" t="str">
        <f>IF($G60="","",IF(AND(LEFT($Q60,8)="Non-aero",ISERROR(MATCH($N60,Lge_NonAero!$B:$B,0))),1,0))</f>
        <v/>
      </c>
      <c r="C60" s="5" t="str">
        <f>IF($G60="","",IF(AND(LEFT($O60,3)="Wom",ISERROR(MATCH($N60,Lge_Women!$B:$B,0))),1,0))</f>
        <v/>
      </c>
      <c r="D60" s="2" t="str">
        <f>IF($G60="","",IF(AND(OR($O60="Vet",$O60="Woman Vet"),ISERROR(MATCH($N60,Lge_Vets!$B:$B,0))),1,0))</f>
        <v/>
      </c>
      <c r="E60" s="2" t="str">
        <f>IF($G60="","",IF(AND(OR($O60="Junior",$O60="Woman Junior",$O60="Youth",$O60="Woman Youth"),ISERROR(MATCH($N60,Lge_Junior!$B:$B,0))),1,0))</f>
        <v/>
      </c>
      <c r="F60" s="2" t="str">
        <f>IF($G60="","",IF(AND(LEFT($O60,3)="You",ISERROR(MATCH($N60,Lge_Youth!$B:$B,0))),1,0))</f>
        <v/>
      </c>
      <c r="G60" s="3"/>
      <c r="H60" s="3"/>
      <c r="I60" s="3"/>
      <c r="J60" s="3"/>
      <c r="K60" s="6"/>
      <c r="L60" s="4"/>
      <c r="M60" s="4"/>
      <c r="N60" s="8"/>
      <c r="O60" s="8"/>
      <c r="P60" s="9"/>
      <c r="Q60" s="8"/>
      <c r="R60" s="8"/>
      <c r="S60" s="9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10"/>
    </row>
    <row r="61" spans="1:39" x14ac:dyDescent="0.2">
      <c r="A61" s="2" t="str">
        <f>IF($G61="","",IF(ISERROR(MATCH($N61,Lge_Scratch!$B:$B,0)),1,0))</f>
        <v/>
      </c>
      <c r="B61" s="2" t="str">
        <f>IF($G61="","",IF(AND(LEFT($Q61,8)="Non-aero",ISERROR(MATCH($N61,Lge_NonAero!$B:$B,0))),1,0))</f>
        <v/>
      </c>
      <c r="C61" s="5" t="str">
        <f>IF($G61="","",IF(AND(LEFT($O61,3)="Wom",ISERROR(MATCH($N61,Lge_Women!$B:$B,0))),1,0))</f>
        <v/>
      </c>
      <c r="D61" s="2" t="str">
        <f>IF($G61="","",IF(AND(OR($O61="Vet",$O61="Woman Vet"),ISERROR(MATCH($N61,Lge_Vets!$B:$B,0))),1,0))</f>
        <v/>
      </c>
      <c r="E61" s="2" t="str">
        <f>IF($G61="","",IF(AND(OR($O61="Junior",$O61="Woman Junior",$O61="Youth",$O61="Woman Youth"),ISERROR(MATCH($N61,Lge_Junior!$B:$B,0))),1,0))</f>
        <v/>
      </c>
      <c r="F61" s="2" t="str">
        <f>IF($G61="","",IF(AND(LEFT($O61,3)="You",ISERROR(MATCH($N61,Lge_Youth!$B:$B,0))),1,0))</f>
        <v/>
      </c>
      <c r="G61" s="3"/>
      <c r="H61" s="3"/>
      <c r="I61" s="3"/>
      <c r="J61" s="3"/>
      <c r="K61" s="6"/>
      <c r="L61" s="4"/>
      <c r="M61" s="4"/>
      <c r="N61" s="8"/>
      <c r="O61" s="8"/>
      <c r="P61" s="9"/>
      <c r="Q61" s="8"/>
      <c r="R61" s="8"/>
      <c r="S61" s="9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10"/>
    </row>
    <row r="62" spans="1:39" x14ac:dyDescent="0.2">
      <c r="A62" s="2" t="str">
        <f>IF($G62="","",IF(ISERROR(MATCH($N62,Lge_Scratch!$B:$B,0)),1,0))</f>
        <v/>
      </c>
      <c r="B62" s="2" t="str">
        <f>IF($G62="","",IF(AND(LEFT($Q62,8)="Non-aero",ISERROR(MATCH($N62,Lge_NonAero!$B:$B,0))),1,0))</f>
        <v/>
      </c>
      <c r="C62" s="5" t="str">
        <f>IF($G62="","",IF(AND(LEFT($O62,3)="Wom",ISERROR(MATCH($N62,Lge_Women!$B:$B,0))),1,0))</f>
        <v/>
      </c>
      <c r="D62" s="2" t="str">
        <f>IF($G62="","",IF(AND(OR($O62="Vet",$O62="Woman Vet"),ISERROR(MATCH($N62,Lge_Vets!$B:$B,0))),1,0))</f>
        <v/>
      </c>
      <c r="E62" s="2" t="str">
        <f>IF($G62="","",IF(AND(OR($O62="Junior",$O62="Woman Junior",$O62="Youth",$O62="Woman Youth"),ISERROR(MATCH($N62,Lge_Junior!$B:$B,0))),1,0))</f>
        <v/>
      </c>
      <c r="F62" s="2" t="str">
        <f>IF($G62="","",IF(AND(LEFT($O62,3)="You",ISERROR(MATCH($N62,Lge_Youth!$B:$B,0))),1,0))</f>
        <v/>
      </c>
      <c r="G62" s="3"/>
      <c r="H62" s="3"/>
      <c r="I62" s="3"/>
      <c r="J62" s="3"/>
      <c r="K62" s="6"/>
      <c r="L62" s="4"/>
      <c r="M62" s="4"/>
      <c r="N62" s="8"/>
      <c r="O62" s="8"/>
      <c r="P62" s="9"/>
      <c r="Q62" s="8"/>
      <c r="R62" s="8"/>
      <c r="S62" s="9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10"/>
    </row>
    <row r="63" spans="1:39" x14ac:dyDescent="0.2">
      <c r="A63" s="2" t="str">
        <f>IF($G63="","",IF(ISERROR(MATCH($N63,Lge_Scratch!$B:$B,0)),1,0))</f>
        <v/>
      </c>
      <c r="B63" s="2" t="str">
        <f>IF($G63="","",IF(AND(LEFT($Q63,8)="Non-aero",ISERROR(MATCH($N63,Lge_NonAero!$B:$B,0))),1,0))</f>
        <v/>
      </c>
      <c r="C63" s="5" t="str">
        <f>IF($G63="","",IF(AND(LEFT($O63,3)="Wom",ISERROR(MATCH($N63,Lge_Women!$B:$B,0))),1,0))</f>
        <v/>
      </c>
      <c r="D63" s="2" t="str">
        <f>IF($G63="","",IF(AND(OR($O63="Vet",$O63="Woman Vet"),ISERROR(MATCH($N63,Lge_Vets!$B:$B,0))),1,0))</f>
        <v/>
      </c>
      <c r="E63" s="2" t="str">
        <f>IF($G63="","",IF(AND(OR($O63="Junior",$O63="Woman Junior",$O63="Youth",$O63="Woman Youth"),ISERROR(MATCH($N63,Lge_Junior!$B:$B,0))),1,0))</f>
        <v/>
      </c>
      <c r="F63" s="2" t="str">
        <f>IF($G63="","",IF(AND(LEFT($O63,3)="You",ISERROR(MATCH($N63,Lge_Youth!$B:$B,0))),1,0))</f>
        <v/>
      </c>
      <c r="G63" s="3"/>
      <c r="H63" s="3"/>
      <c r="I63" s="3"/>
      <c r="J63" s="3"/>
      <c r="K63" s="6"/>
      <c r="L63" s="4"/>
      <c r="M63" s="4"/>
      <c r="N63" s="8"/>
      <c r="O63" s="8"/>
      <c r="P63" s="9"/>
      <c r="Q63" s="8"/>
      <c r="R63" s="8"/>
      <c r="S63" s="9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10"/>
    </row>
    <row r="64" spans="1:39" x14ac:dyDescent="0.2">
      <c r="A64" s="2" t="str">
        <f>IF($G64="","",IF(ISERROR(MATCH($N64,Lge_Scratch!$B:$B,0)),1,0))</f>
        <v/>
      </c>
      <c r="B64" s="2" t="str">
        <f>IF($G64="","",IF(AND(LEFT($Q64,8)="Non-aero",ISERROR(MATCH($N64,Lge_NonAero!$B:$B,0))),1,0))</f>
        <v/>
      </c>
      <c r="C64" s="5" t="str">
        <f>IF($G64="","",IF(AND(LEFT($O64,3)="Wom",ISERROR(MATCH($N64,Lge_Women!$B:$B,0))),1,0))</f>
        <v/>
      </c>
      <c r="D64" s="2" t="str">
        <f>IF($G64="","",IF(AND(OR($O64="Vet",$O64="Woman Vet"),ISERROR(MATCH($N64,Lge_Vets!$B:$B,0))),1,0))</f>
        <v/>
      </c>
      <c r="E64" s="2" t="str">
        <f>IF($G64="","",IF(AND(OR($O64="Junior",$O64="Woman Junior",$O64="Youth",$O64="Woman Youth"),ISERROR(MATCH($N64,Lge_Junior!$B:$B,0))),1,0))</f>
        <v/>
      </c>
      <c r="F64" s="2" t="str">
        <f>IF($G64="","",IF(AND(LEFT($O64,3)="You",ISERROR(MATCH($N64,Lge_Youth!$B:$B,0))),1,0))</f>
        <v/>
      </c>
      <c r="G64" s="3"/>
      <c r="H64" s="3"/>
      <c r="I64" s="3"/>
      <c r="J64" s="3"/>
      <c r="K64" s="6"/>
      <c r="L64" s="4"/>
      <c r="M64" s="4"/>
      <c r="N64" s="8"/>
      <c r="O64" s="8"/>
      <c r="P64" s="9"/>
      <c r="Q64" s="8"/>
      <c r="R64" s="8"/>
      <c r="S64" s="9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10"/>
    </row>
    <row r="65" spans="1:39" x14ac:dyDescent="0.2">
      <c r="A65" s="2" t="str">
        <f>IF($G65="","",IF(ISERROR(MATCH($N65,Lge_Scratch!$B:$B,0)),1,0))</f>
        <v/>
      </c>
      <c r="B65" s="2" t="str">
        <f>IF($G65="","",IF(AND(LEFT($Q65,8)="Non-aero",ISERROR(MATCH($N65,Lge_NonAero!$B:$B,0))),1,0))</f>
        <v/>
      </c>
      <c r="C65" s="5" t="str">
        <f>IF($G65="","",IF(AND(LEFT($O65,3)="Wom",ISERROR(MATCH($N65,Lge_Women!$B:$B,0))),1,0))</f>
        <v/>
      </c>
      <c r="D65" s="2" t="str">
        <f>IF($G65="","",IF(AND(OR($O65="Vet",$O65="Woman Vet"),ISERROR(MATCH($N65,Lge_Vets!$B:$B,0))),1,0))</f>
        <v/>
      </c>
      <c r="E65" s="2" t="str">
        <f>IF($G65="","",IF(AND(OR($O65="Junior",$O65="Woman Junior",$O65="Youth",$O65="Woman Youth"),ISERROR(MATCH($N65,Lge_Junior!$B:$B,0))),1,0))</f>
        <v/>
      </c>
      <c r="F65" s="2" t="str">
        <f>IF($G65="","",IF(AND(LEFT($O65,3)="You",ISERROR(MATCH($N65,Lge_Youth!$B:$B,0))),1,0))</f>
        <v/>
      </c>
      <c r="G65" s="3"/>
      <c r="H65" s="3"/>
      <c r="I65" s="3"/>
      <c r="J65" s="3"/>
      <c r="K65" s="6"/>
      <c r="L65" s="4"/>
      <c r="M65" s="4"/>
      <c r="N65" s="8"/>
      <c r="O65" s="8"/>
      <c r="P65" s="9"/>
      <c r="Q65" s="8"/>
      <c r="R65" s="8"/>
      <c r="S65" s="9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10"/>
    </row>
    <row r="66" spans="1:39" x14ac:dyDescent="0.2">
      <c r="A66" s="2" t="str">
        <f>IF($G66="","",IF(ISERROR(MATCH($N66,Lge_Scratch!$B:$B,0)),1,0))</f>
        <v/>
      </c>
      <c r="B66" s="2" t="str">
        <f>IF($G66="","",IF(AND(LEFT($Q66,8)="Non-aero",ISERROR(MATCH($N66,Lge_NonAero!$B:$B,0))),1,0))</f>
        <v/>
      </c>
      <c r="C66" s="5" t="str">
        <f>IF($G66="","",IF(AND(LEFT($O66,3)="Wom",ISERROR(MATCH($N66,Lge_Women!$B:$B,0))),1,0))</f>
        <v/>
      </c>
      <c r="D66" s="2" t="str">
        <f>IF($G66="","",IF(AND(OR($O66="Vet",$O66="Woman Vet"),ISERROR(MATCH($N66,Lge_Vets!$B:$B,0))),1,0))</f>
        <v/>
      </c>
      <c r="E66" s="2" t="str">
        <f>IF($G66="","",IF(AND(OR($O66="Junior",$O66="Woman Junior",$O66="Youth",$O66="Woman Youth"),ISERROR(MATCH($N66,Lge_Junior!$B:$B,0))),1,0))</f>
        <v/>
      </c>
      <c r="F66" s="2" t="str">
        <f>IF($G66="","",IF(AND(LEFT($O66,3)="You",ISERROR(MATCH($N66,Lge_Youth!$B:$B,0))),1,0))</f>
        <v/>
      </c>
      <c r="G66" s="3"/>
      <c r="H66" s="3"/>
      <c r="I66" s="3"/>
      <c r="J66" s="3"/>
      <c r="K66" s="6"/>
      <c r="L66" s="4"/>
      <c r="M66" s="4"/>
      <c r="N66" s="8"/>
      <c r="O66" s="8"/>
      <c r="P66" s="9"/>
      <c r="Q66" s="8"/>
      <c r="R66" s="8"/>
      <c r="S66" s="9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10"/>
    </row>
    <row r="67" spans="1:39" x14ac:dyDescent="0.2">
      <c r="A67" s="2" t="str">
        <f>IF($G67="","",IF(ISERROR(MATCH($N67,Lge_Scratch!$B:$B,0)),1,0))</f>
        <v/>
      </c>
      <c r="B67" s="2" t="str">
        <f>IF($G67="","",IF(AND(LEFT($Q67,8)="Non-aero",ISERROR(MATCH($N67,Lge_NonAero!$B:$B,0))),1,0))</f>
        <v/>
      </c>
      <c r="C67" s="5" t="str">
        <f>IF($G67="","",IF(AND(LEFT($O67,3)="Wom",ISERROR(MATCH($N67,Lge_Women!$B:$B,0))),1,0))</f>
        <v/>
      </c>
      <c r="D67" s="2" t="str">
        <f>IF($G67="","",IF(AND(OR($O67="Vet",$O67="Woman Vet"),ISERROR(MATCH($N67,Lge_Vets!$B:$B,0))),1,0))</f>
        <v/>
      </c>
      <c r="E67" s="2" t="str">
        <f>IF($G67="","",IF(AND(OR($O67="Junior",$O67="Woman Junior",$O67="Youth",$O67="Woman Youth"),ISERROR(MATCH($N67,Lge_Junior!$B:$B,0))),1,0))</f>
        <v/>
      </c>
      <c r="F67" s="2" t="str">
        <f>IF($G67="","",IF(AND(LEFT($O67,3)="You",ISERROR(MATCH($N67,Lge_Youth!$B:$B,0))),1,0))</f>
        <v/>
      </c>
      <c r="G67" s="3"/>
      <c r="H67" s="3"/>
      <c r="I67" s="3"/>
      <c r="J67" s="3"/>
      <c r="K67" s="6"/>
      <c r="L67" s="4"/>
      <c r="M67" s="4"/>
      <c r="N67" s="8"/>
      <c r="O67" s="8"/>
      <c r="P67" s="9"/>
      <c r="Q67" s="8"/>
      <c r="R67" s="8"/>
      <c r="S67" s="9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10"/>
    </row>
    <row r="68" spans="1:39" x14ac:dyDescent="0.2">
      <c r="A68" s="2" t="str">
        <f>IF($G68="","",IF(ISERROR(MATCH($N68,Lge_Scratch!$B:$B,0)),1,0))</f>
        <v/>
      </c>
      <c r="B68" s="2" t="str">
        <f>IF($G68="","",IF(AND(LEFT($Q68,8)="Non-aero",ISERROR(MATCH($N68,Lge_NonAero!$B:$B,0))),1,0))</f>
        <v/>
      </c>
      <c r="C68" s="5" t="str">
        <f>IF($G68="","",IF(AND(LEFT($O68,3)="Wom",ISERROR(MATCH($N68,Lge_Women!$B:$B,0))),1,0))</f>
        <v/>
      </c>
      <c r="D68" s="2" t="str">
        <f>IF($G68="","",IF(AND(OR($O68="Vet",$O68="Woman Vet"),ISERROR(MATCH($N68,Lge_Vets!$B:$B,0))),1,0))</f>
        <v/>
      </c>
      <c r="E68" s="2" t="str">
        <f>IF($G68="","",IF(AND(OR($O68="Junior",$O68="Woman Junior",$O68="Youth",$O68="Woman Youth"),ISERROR(MATCH($N68,Lge_Junior!$B:$B,0))),1,0))</f>
        <v/>
      </c>
      <c r="F68" s="2" t="str">
        <f>IF($G68="","",IF(AND(LEFT($O68,3)="You",ISERROR(MATCH($N68,Lge_Youth!$B:$B,0))),1,0))</f>
        <v/>
      </c>
      <c r="G68" s="3"/>
      <c r="H68" s="3"/>
      <c r="I68" s="3"/>
      <c r="J68" s="3"/>
      <c r="K68" s="6"/>
      <c r="L68" s="4"/>
      <c r="M68" s="4"/>
      <c r="N68" s="8"/>
      <c r="O68" s="8"/>
      <c r="P68" s="9"/>
      <c r="Q68" s="8"/>
      <c r="R68" s="8"/>
      <c r="S68" s="9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10"/>
    </row>
    <row r="69" spans="1:39" x14ac:dyDescent="0.2">
      <c r="A69" s="2" t="str">
        <f>IF($G69="","",IF(ISERROR(MATCH($N69,Lge_Scratch!$B:$B,0)),1,0))</f>
        <v/>
      </c>
      <c r="B69" s="2" t="str">
        <f>IF($G69="","",IF(AND(LEFT($Q69,8)="Non-aero",ISERROR(MATCH($N69,Lge_NonAero!$B:$B,0))),1,0))</f>
        <v/>
      </c>
      <c r="C69" s="5" t="str">
        <f>IF($G69="","",IF(AND(LEFT($O69,3)="Wom",ISERROR(MATCH($N69,Lge_Women!$B:$B,0))),1,0))</f>
        <v/>
      </c>
      <c r="D69" s="2" t="str">
        <f>IF($G69="","",IF(AND(OR($O69="Vet",$O69="Woman Vet"),ISERROR(MATCH($N69,Lge_Vets!$B:$B,0))),1,0))</f>
        <v/>
      </c>
      <c r="E69" s="2" t="str">
        <f>IF($G69="","",IF(AND(OR($O69="Junior",$O69="Woman Junior",$O69="Youth",$O69="Woman Youth"),ISERROR(MATCH($N69,Lge_Junior!$B:$B,0))),1,0))</f>
        <v/>
      </c>
      <c r="F69" s="2" t="str">
        <f>IF($G69="","",IF(AND(LEFT($O69,3)="You",ISERROR(MATCH($N69,Lge_Youth!$B:$B,0))),1,0))</f>
        <v/>
      </c>
      <c r="G69" s="3"/>
      <c r="H69" s="3"/>
      <c r="I69" s="3"/>
      <c r="J69" s="3"/>
      <c r="K69" s="6"/>
      <c r="L69" s="4"/>
      <c r="M69" s="4"/>
      <c r="N69" s="8"/>
      <c r="O69" s="8"/>
      <c r="P69" s="9"/>
      <c r="Q69" s="8"/>
      <c r="R69" s="8"/>
      <c r="S69" s="9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10"/>
    </row>
    <row r="70" spans="1:39" x14ac:dyDescent="0.2">
      <c r="A70" s="2" t="str">
        <f>IF($G70="","",IF(ISERROR(MATCH($N70,Lge_Scratch!$B:$B,0)),1,0))</f>
        <v/>
      </c>
      <c r="B70" s="2" t="str">
        <f>IF($G70="","",IF(AND(LEFT($Q70,8)="Non-aero",ISERROR(MATCH($N70,Lge_NonAero!$B:$B,0))),1,0))</f>
        <v/>
      </c>
      <c r="C70" s="5" t="str">
        <f>IF($G70="","",IF(AND(LEFT($O70,3)="Wom",ISERROR(MATCH($N70,Lge_Women!$B:$B,0))),1,0))</f>
        <v/>
      </c>
      <c r="D70" s="2" t="str">
        <f>IF($G70="","",IF(AND(OR($O70="Vet",$O70="Woman Vet"),ISERROR(MATCH($N70,Lge_Vets!$B:$B,0))),1,0))</f>
        <v/>
      </c>
      <c r="E70" s="2" t="str">
        <f>IF($G70="","",IF(AND(OR($O70="Junior",$O70="Woman Junior",$O70="Youth",$O70="Woman Youth"),ISERROR(MATCH($N70,Lge_Junior!$B:$B,0))),1,0))</f>
        <v/>
      </c>
      <c r="F70" s="2" t="str">
        <f>IF($G70="","",IF(AND(LEFT($O70,3)="You",ISERROR(MATCH($N70,Lge_Youth!$B:$B,0))),1,0))</f>
        <v/>
      </c>
      <c r="G70" s="3"/>
      <c r="H70" s="3"/>
      <c r="I70" s="3"/>
      <c r="J70" s="3"/>
      <c r="K70" s="6"/>
      <c r="L70" s="4"/>
      <c r="M70" s="4"/>
      <c r="N70" s="8"/>
      <c r="O70" s="8"/>
      <c r="P70" s="9"/>
      <c r="Q70" s="8"/>
      <c r="R70" s="8"/>
      <c r="S70" s="9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10"/>
    </row>
    <row r="71" spans="1:39" x14ac:dyDescent="0.2">
      <c r="A71" s="2" t="str">
        <f>IF($G71="","",IF(ISERROR(MATCH($N71,Lge_Scratch!$B:$B,0)),1,0))</f>
        <v/>
      </c>
      <c r="B71" s="2" t="str">
        <f>IF($G71="","",IF(AND(LEFT($Q71,8)="Non-aero",ISERROR(MATCH($N71,Lge_NonAero!$B:$B,0))),1,0))</f>
        <v/>
      </c>
      <c r="C71" s="5" t="str">
        <f>IF($G71="","",IF(AND(LEFT($O71,3)="Wom",ISERROR(MATCH($N71,Lge_Women!$B:$B,0))),1,0))</f>
        <v/>
      </c>
      <c r="D71" s="2" t="str">
        <f>IF($G71="","",IF(AND(OR($O71="Vet",$O71="Woman Vet"),ISERROR(MATCH($N71,Lge_Vets!$B:$B,0))),1,0))</f>
        <v/>
      </c>
      <c r="E71" s="2" t="str">
        <f>IF($G71="","",IF(AND(OR($O71="Junior",$O71="Woman Junior",$O71="Youth",$O71="Woman Youth"),ISERROR(MATCH($N71,Lge_Junior!$B:$B,0))),1,0))</f>
        <v/>
      </c>
      <c r="F71" s="2" t="str">
        <f>IF($G71="","",IF(AND(LEFT($O71,3)="You",ISERROR(MATCH($N71,Lge_Youth!$B:$B,0))),1,0))</f>
        <v/>
      </c>
      <c r="G71" s="3"/>
      <c r="H71" s="3"/>
      <c r="I71" s="3"/>
      <c r="J71" s="3"/>
      <c r="K71" s="6"/>
      <c r="L71" s="4"/>
      <c r="M71" s="4"/>
      <c r="N71" s="8"/>
      <c r="O71" s="8"/>
      <c r="P71" s="9"/>
      <c r="Q71" s="8"/>
      <c r="R71" s="8"/>
      <c r="S71" s="9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10"/>
    </row>
    <row r="72" spans="1:39" x14ac:dyDescent="0.2">
      <c r="A72" s="2" t="str">
        <f>IF($G72="","",IF(ISERROR(MATCH($N72,Lge_Scratch!$B:$B,0)),1,0))</f>
        <v/>
      </c>
      <c r="B72" s="2" t="str">
        <f>IF($G72="","",IF(AND(LEFT($Q72,8)="Non-aero",ISERROR(MATCH($N72,Lge_NonAero!$B:$B,0))),1,0))</f>
        <v/>
      </c>
      <c r="C72" s="5" t="str">
        <f>IF($G72="","",IF(AND(LEFT($O72,3)="Wom",ISERROR(MATCH($N72,Lge_Women!$B:$B,0))),1,0))</f>
        <v/>
      </c>
      <c r="D72" s="2" t="str">
        <f>IF($G72="","",IF(AND(OR($O72="Vet",$O72="Woman Vet"),ISERROR(MATCH($N72,Lge_Vets!$B:$B,0))),1,0))</f>
        <v/>
      </c>
      <c r="E72" s="2" t="str">
        <f>IF($G72="","",IF(AND(OR($O72="Junior",$O72="Woman Junior",$O72="Youth",$O72="Woman Youth"),ISERROR(MATCH($N72,Lge_Junior!$B:$B,0))),1,0))</f>
        <v/>
      </c>
      <c r="F72" s="2" t="str">
        <f>IF($G72="","",IF(AND(LEFT($O72,3)="You",ISERROR(MATCH($N72,Lge_Youth!$B:$B,0))),1,0))</f>
        <v/>
      </c>
      <c r="G72" s="3"/>
      <c r="H72" s="3"/>
      <c r="I72" s="3"/>
      <c r="J72" s="3"/>
      <c r="K72" s="6"/>
      <c r="L72" s="4"/>
      <c r="M72" s="4"/>
      <c r="N72" s="8"/>
      <c r="O72" s="8"/>
      <c r="P72" s="9"/>
      <c r="Q72" s="8"/>
      <c r="R72" s="8"/>
      <c r="S72" s="9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10"/>
    </row>
    <row r="73" spans="1:39" x14ac:dyDescent="0.2">
      <c r="A73" s="2" t="str">
        <f>IF($G73="","",IF(ISERROR(MATCH($N73,Lge_Scratch!$B:$B,0)),1,0))</f>
        <v/>
      </c>
      <c r="B73" s="2" t="str">
        <f>IF($G73="","",IF(AND(LEFT($Q73,8)="Non-aero",ISERROR(MATCH($N73,Lge_NonAero!$B:$B,0))),1,0))</f>
        <v/>
      </c>
      <c r="C73" s="5" t="str">
        <f>IF($G73="","",IF(AND(LEFT($O73,3)="Wom",ISERROR(MATCH($N73,Lge_Women!$B:$B,0))),1,0))</f>
        <v/>
      </c>
      <c r="D73" s="2" t="str">
        <f>IF($G73="","",IF(AND(OR($O73="Vet",$O73="Woman Vet"),ISERROR(MATCH($N73,Lge_Vets!$B:$B,0))),1,0))</f>
        <v/>
      </c>
      <c r="E73" s="2" t="str">
        <f>IF($G73="","",IF(AND(OR($O73="Junior",$O73="Woman Junior",$O73="Youth",$O73="Woman Youth"),ISERROR(MATCH($N73,Lge_Junior!$B:$B,0))),1,0))</f>
        <v/>
      </c>
      <c r="F73" s="2" t="str">
        <f>IF($G73="","",IF(AND(LEFT($O73,3)="You",ISERROR(MATCH($N73,Lge_Youth!$B:$B,0))),1,0))</f>
        <v/>
      </c>
      <c r="G73" s="3"/>
      <c r="H73" s="3"/>
      <c r="I73" s="3"/>
      <c r="J73" s="3"/>
      <c r="K73" s="6"/>
      <c r="L73" s="4"/>
      <c r="M73" s="4"/>
      <c r="N73" s="8"/>
      <c r="O73" s="8"/>
      <c r="P73" s="9"/>
      <c r="Q73" s="8"/>
      <c r="R73" s="8"/>
      <c r="S73" s="9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10"/>
    </row>
    <row r="74" spans="1:39" x14ac:dyDescent="0.2">
      <c r="A74" s="2" t="str">
        <f>IF($G74="","",IF(ISERROR(MATCH($N74,Lge_Scratch!$B:$B,0)),1,0))</f>
        <v/>
      </c>
      <c r="B74" s="2" t="str">
        <f>IF($G74="","",IF(AND(LEFT($Q74,8)="Non-aero",ISERROR(MATCH($N74,Lge_NonAero!$B:$B,0))),1,0))</f>
        <v/>
      </c>
      <c r="C74" s="5" t="str">
        <f>IF($G74="","",IF(AND(LEFT($O74,3)="Wom",ISERROR(MATCH($N74,Lge_Women!$B:$B,0))),1,0))</f>
        <v/>
      </c>
      <c r="D74" s="2" t="str">
        <f>IF($G74="","",IF(AND(OR($O74="Vet",$O74="Woman Vet"),ISERROR(MATCH($N74,Lge_Vets!$B:$B,0))),1,0))</f>
        <v/>
      </c>
      <c r="E74" s="2" t="str">
        <f>IF($G74="","",IF(AND(OR($O74="Junior",$O74="Woman Junior",$O74="Youth",$O74="Woman Youth"),ISERROR(MATCH($N74,Lge_Junior!$B:$B,0))),1,0))</f>
        <v/>
      </c>
      <c r="F74" s="2" t="str">
        <f>IF($G74="","",IF(AND(LEFT($O74,3)="You",ISERROR(MATCH($N74,Lge_Youth!$B:$B,0))),1,0))</f>
        <v/>
      </c>
      <c r="G74" s="3"/>
      <c r="H74" s="3"/>
      <c r="I74" s="3"/>
      <c r="J74" s="3"/>
      <c r="K74" s="6"/>
      <c r="L74" s="4"/>
      <c r="M74" s="4"/>
      <c r="N74" s="8"/>
      <c r="O74" s="8"/>
      <c r="P74" s="9"/>
      <c r="Q74" s="8"/>
      <c r="R74" s="8"/>
      <c r="S74" s="9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10"/>
    </row>
    <row r="75" spans="1:39" x14ac:dyDescent="0.2">
      <c r="A75" s="2" t="str">
        <f>IF($G75="","",IF(ISERROR(MATCH($N75,Lge_Scratch!$B:$B,0)),1,0))</f>
        <v/>
      </c>
      <c r="B75" s="2" t="str">
        <f>IF($G75="","",IF(AND(LEFT($Q75,8)="Non-aero",ISERROR(MATCH($N75,Lge_NonAero!$B:$B,0))),1,0))</f>
        <v/>
      </c>
      <c r="C75" s="5" t="str">
        <f>IF($G75="","",IF(AND(LEFT($O75,3)="Wom",ISERROR(MATCH($N75,Lge_Women!$B:$B,0))),1,0))</f>
        <v/>
      </c>
      <c r="D75" s="2" t="str">
        <f>IF($G75="","",IF(AND(OR($O75="Vet",$O75="Woman Vet"),ISERROR(MATCH($N75,Lge_Vets!$B:$B,0))),1,0))</f>
        <v/>
      </c>
      <c r="E75" s="2" t="str">
        <f>IF($G75="","",IF(AND(OR($O75="Junior",$O75="Woman Junior",$O75="Youth",$O75="Woman Youth"),ISERROR(MATCH($N75,Lge_Junior!$B:$B,0))),1,0))</f>
        <v/>
      </c>
      <c r="F75" s="2" t="str">
        <f>IF($G75="","",IF(AND(LEFT($O75,3)="You",ISERROR(MATCH($N75,Lge_Youth!$B:$B,0))),1,0))</f>
        <v/>
      </c>
      <c r="G75" s="3"/>
      <c r="H75" s="3"/>
      <c r="I75" s="3"/>
      <c r="J75" s="3"/>
      <c r="K75" s="6"/>
      <c r="L75" s="4"/>
      <c r="M75" s="4"/>
      <c r="N75" s="8"/>
      <c r="O75" s="8"/>
      <c r="P75" s="9"/>
      <c r="Q75" s="8"/>
      <c r="R75" s="8"/>
      <c r="S75" s="9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10"/>
    </row>
    <row r="76" spans="1:39" x14ac:dyDescent="0.2">
      <c r="A76" s="2" t="str">
        <f>IF($G76="","",IF(ISERROR(MATCH($N76,Lge_Scratch!$B:$B,0)),1,0))</f>
        <v/>
      </c>
      <c r="B76" s="2" t="str">
        <f>IF($G76="","",IF(AND(LEFT($Q76,8)="Non-aero",ISERROR(MATCH($N76,Lge_NonAero!$B:$B,0))),1,0))</f>
        <v/>
      </c>
      <c r="C76" s="5" t="str">
        <f>IF($G76="","",IF(AND(LEFT($O76,3)="Wom",ISERROR(MATCH($N76,Lge_Women!$B:$B,0))),1,0))</f>
        <v/>
      </c>
      <c r="D76" s="2" t="str">
        <f>IF($G76="","",IF(AND(OR($O76="Vet",$O76="Woman Vet"),ISERROR(MATCH($N76,Lge_Vets!$B:$B,0))),1,0))</f>
        <v/>
      </c>
      <c r="E76" s="2" t="str">
        <f>IF($G76="","",IF(AND(OR($O76="Junior",$O76="Woman Junior",$O76="Youth",$O76="Woman Youth"),ISERROR(MATCH($N76,Lge_Junior!$B:$B,0))),1,0))</f>
        <v/>
      </c>
      <c r="F76" s="2" t="str">
        <f>IF($G76="","",IF(AND(LEFT($O76,3)="You",ISERROR(MATCH($N76,Lge_Youth!$B:$B,0))),1,0))</f>
        <v/>
      </c>
      <c r="G76" s="3"/>
      <c r="H76" s="3"/>
      <c r="I76" s="3"/>
      <c r="J76" s="3"/>
      <c r="K76" s="6"/>
      <c r="L76" s="4"/>
      <c r="M76" s="4"/>
      <c r="N76" s="8"/>
      <c r="O76" s="8"/>
      <c r="P76" s="9"/>
      <c r="Q76" s="8"/>
      <c r="R76" s="8"/>
      <c r="S76" s="9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10"/>
    </row>
    <row r="77" spans="1:39" x14ac:dyDescent="0.2">
      <c r="A77" s="2" t="str">
        <f>IF($G77="","",IF(ISERROR(MATCH($N77,Lge_Scratch!$B:$B,0)),1,0))</f>
        <v/>
      </c>
      <c r="B77" s="2" t="str">
        <f>IF($G77="","",IF(AND(LEFT($Q77,8)="Non-aero",ISERROR(MATCH($N77,Lge_NonAero!$B:$B,0))),1,0))</f>
        <v/>
      </c>
      <c r="C77" s="5" t="str">
        <f>IF($G77="","",IF(AND(LEFT($O77,3)="Wom",ISERROR(MATCH($N77,Lge_Women!$B:$B,0))),1,0))</f>
        <v/>
      </c>
      <c r="D77" s="2" t="str">
        <f>IF($G77="","",IF(AND(OR($O77="Vet",$O77="Woman Vet"),ISERROR(MATCH($N77,Lge_Vets!$B:$B,0))),1,0))</f>
        <v/>
      </c>
      <c r="E77" s="2" t="str">
        <f>IF($G77="","",IF(AND(OR($O77="Junior",$O77="Woman Junior",$O77="Youth",$O77="Woman Youth"),ISERROR(MATCH($N77,Lge_Junior!$B:$B,0))),1,0))</f>
        <v/>
      </c>
      <c r="F77" s="2" t="str">
        <f>IF($G77="","",IF(AND(LEFT($O77,3)="You",ISERROR(MATCH($N77,Lge_Youth!$B:$B,0))),1,0))</f>
        <v/>
      </c>
      <c r="G77" s="3"/>
      <c r="H77" s="3"/>
      <c r="I77" s="3"/>
      <c r="J77" s="3"/>
      <c r="K77" s="6"/>
      <c r="L77" s="4"/>
      <c r="M77" s="4"/>
      <c r="N77" s="8"/>
      <c r="O77" s="8"/>
      <c r="P77" s="9"/>
      <c r="Q77" s="8"/>
      <c r="R77" s="8"/>
      <c r="S77" s="9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10"/>
    </row>
    <row r="78" spans="1:39" x14ac:dyDescent="0.2">
      <c r="A78" s="2" t="str">
        <f>IF($G78="","",IF(ISERROR(MATCH($N78,Lge_Scratch!$B:$B,0)),1,0))</f>
        <v/>
      </c>
      <c r="B78" s="2" t="str">
        <f>IF($G78="","",IF(AND(LEFT($Q78,8)="Non-aero",ISERROR(MATCH($N78,Lge_NonAero!$B:$B,0))),1,0))</f>
        <v/>
      </c>
      <c r="C78" s="5" t="str">
        <f>IF($G78="","",IF(AND(LEFT($O78,3)="Wom",ISERROR(MATCH($N78,Lge_Women!$B:$B,0))),1,0))</f>
        <v/>
      </c>
      <c r="D78" s="2" t="str">
        <f>IF($G78="","",IF(AND(OR($O78="Vet",$O78="Woman Vet"),ISERROR(MATCH($N78,Lge_Vets!$B:$B,0))),1,0))</f>
        <v/>
      </c>
      <c r="E78" s="2" t="str">
        <f>IF($G78="","",IF(AND(OR($O78="Junior",$O78="Woman Junior",$O78="Youth",$O78="Woman Youth"),ISERROR(MATCH($N78,Lge_Junior!$B:$B,0))),1,0))</f>
        <v/>
      </c>
      <c r="F78" s="2" t="str">
        <f>IF($G78="","",IF(AND(LEFT($O78,3)="You",ISERROR(MATCH($N78,Lge_Youth!$B:$B,0))),1,0))</f>
        <v/>
      </c>
      <c r="G78" s="3"/>
      <c r="H78" s="3"/>
      <c r="I78" s="3"/>
      <c r="J78" s="3"/>
      <c r="K78" s="6"/>
      <c r="L78" s="4"/>
      <c r="M78" s="4"/>
      <c r="N78" s="8"/>
      <c r="O78" s="8"/>
      <c r="P78" s="9"/>
      <c r="Q78" s="8"/>
      <c r="R78" s="8"/>
      <c r="S78" s="9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10"/>
    </row>
    <row r="79" spans="1:39" x14ac:dyDescent="0.2">
      <c r="A79" s="2" t="str">
        <f>IF($G79="","",IF(ISERROR(MATCH($N79,Lge_Scratch!$B:$B,0)),1,0))</f>
        <v/>
      </c>
      <c r="B79" s="2" t="str">
        <f>IF($G79="","",IF(AND(LEFT($Q79,8)="Non-aero",ISERROR(MATCH($N79,Lge_NonAero!$B:$B,0))),1,0))</f>
        <v/>
      </c>
      <c r="C79" s="5" t="str">
        <f>IF($G79="","",IF(AND(LEFT($O79,3)="Wom",ISERROR(MATCH($N79,Lge_Women!$B:$B,0))),1,0))</f>
        <v/>
      </c>
      <c r="D79" s="2" t="str">
        <f>IF($G79="","",IF(AND(OR($O79="Vet",$O79="Woman Vet"),ISERROR(MATCH($N79,Lge_Vets!$B:$B,0))),1,0))</f>
        <v/>
      </c>
      <c r="E79" s="2" t="str">
        <f>IF($G79="","",IF(AND(OR($O79="Junior",$O79="Woman Junior",$O79="Youth",$O79="Woman Youth"),ISERROR(MATCH($N79,Lge_Junior!$B:$B,0))),1,0))</f>
        <v/>
      </c>
      <c r="F79" s="2" t="str">
        <f>IF($G79="","",IF(AND(LEFT($O79,3)="You",ISERROR(MATCH($N79,Lge_Youth!$B:$B,0))),1,0))</f>
        <v/>
      </c>
      <c r="G79" s="3"/>
      <c r="H79" s="3"/>
      <c r="I79" s="3"/>
      <c r="J79" s="3"/>
      <c r="K79" s="6"/>
      <c r="L79" s="4"/>
      <c r="M79" s="4"/>
      <c r="N79" s="8"/>
      <c r="O79" s="8"/>
      <c r="P79" s="9"/>
      <c r="Q79" s="8"/>
      <c r="R79" s="8"/>
      <c r="S79" s="9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10"/>
    </row>
    <row r="80" spans="1:39" x14ac:dyDescent="0.2">
      <c r="A80" s="2" t="str">
        <f>IF($G80="","",IF(ISERROR(MATCH($N80,Lge_Scratch!$B:$B,0)),1,0))</f>
        <v/>
      </c>
      <c r="B80" s="2" t="str">
        <f>IF($G80="","",IF(AND(LEFT($Q80,8)="Non-aero",ISERROR(MATCH($N80,Lge_NonAero!$B:$B,0))),1,0))</f>
        <v/>
      </c>
      <c r="C80" s="5" t="str">
        <f>IF($G80="","",IF(AND(LEFT($O80,3)="Wom",ISERROR(MATCH($N80,Lge_Women!$B:$B,0))),1,0))</f>
        <v/>
      </c>
      <c r="D80" s="2" t="str">
        <f>IF($G80="","",IF(AND(OR($O80="Vet",$O80="Woman Vet"),ISERROR(MATCH($N80,Lge_Vets!$B:$B,0))),1,0))</f>
        <v/>
      </c>
      <c r="E80" s="2" t="str">
        <f>IF($G80="","",IF(AND(OR($O80="Junior",$O80="Woman Junior",$O80="Youth",$O80="Woman Youth"),ISERROR(MATCH($N80,Lge_Junior!$B:$B,0))),1,0))</f>
        <v/>
      </c>
      <c r="F80" s="2" t="str">
        <f>IF($G80="","",IF(AND(LEFT($O80,3)="You",ISERROR(MATCH($N80,Lge_Youth!$B:$B,0))),1,0))</f>
        <v/>
      </c>
      <c r="G80" s="3"/>
      <c r="H80" s="3"/>
      <c r="I80" s="3"/>
      <c r="J80" s="3"/>
      <c r="K80" s="6"/>
      <c r="L80" s="4"/>
      <c r="M80" s="4"/>
      <c r="N80" s="8"/>
      <c r="O80" s="8"/>
      <c r="P80" s="9"/>
      <c r="Q80" s="8"/>
      <c r="R80" s="8"/>
      <c r="S80" s="9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10"/>
    </row>
    <row r="81" spans="1:39" x14ac:dyDescent="0.2">
      <c r="A81" s="2" t="str">
        <f>IF($G81="","",IF(ISERROR(MATCH($N81,Lge_Scratch!$B:$B,0)),1,0))</f>
        <v/>
      </c>
      <c r="B81" s="2" t="str">
        <f>IF($G81="","",IF(AND(LEFT($Q81,8)="Non-aero",ISERROR(MATCH($N81,Lge_NonAero!$B:$B,0))),1,0))</f>
        <v/>
      </c>
      <c r="C81" s="5" t="str">
        <f>IF($G81="","",IF(AND(LEFT($O81,3)="Wom",ISERROR(MATCH($N81,Lge_Women!$B:$B,0))),1,0))</f>
        <v/>
      </c>
      <c r="D81" s="2" t="str">
        <f>IF($G81="","",IF(AND(OR($O81="Vet",$O81="Woman Vet"),ISERROR(MATCH($N81,Lge_Vets!$B:$B,0))),1,0))</f>
        <v/>
      </c>
      <c r="E81" s="2" t="str">
        <f>IF($G81="","",IF(AND(OR($O81="Junior",$O81="Woman Junior",$O81="Youth",$O81="Woman Youth"),ISERROR(MATCH($N81,Lge_Junior!$B:$B,0))),1,0))</f>
        <v/>
      </c>
      <c r="F81" s="2" t="str">
        <f>IF($G81="","",IF(AND(LEFT($O81,3)="You",ISERROR(MATCH($N81,Lge_Youth!$B:$B,0))),1,0))</f>
        <v/>
      </c>
      <c r="G81" s="3"/>
      <c r="H81" s="3"/>
      <c r="I81" s="3"/>
      <c r="J81" s="3"/>
      <c r="K81" s="6"/>
      <c r="L81" s="4"/>
      <c r="M81" s="4"/>
      <c r="N81" s="8"/>
      <c r="O81" s="8"/>
      <c r="P81" s="9"/>
      <c r="Q81" s="8"/>
      <c r="R81" s="8"/>
      <c r="S81" s="9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10"/>
    </row>
    <row r="82" spans="1:39" x14ac:dyDescent="0.2">
      <c r="A82" s="2" t="str">
        <f>IF($G82="","",IF(ISERROR(MATCH($N82,Lge_Scratch!$B:$B,0)),1,0))</f>
        <v/>
      </c>
      <c r="B82" s="2" t="str">
        <f>IF($G82="","",IF(AND(LEFT($Q82,8)="Non-aero",ISERROR(MATCH($N82,Lge_NonAero!$B:$B,0))),1,0))</f>
        <v/>
      </c>
      <c r="C82" s="5" t="str">
        <f>IF($G82="","",IF(AND(LEFT($O82,3)="Wom",ISERROR(MATCH($N82,Lge_Women!$B:$B,0))),1,0))</f>
        <v/>
      </c>
      <c r="D82" s="2" t="str">
        <f>IF($G82="","",IF(AND(OR($O82="Vet",$O82="Woman Vet"),ISERROR(MATCH($N82,Lge_Vets!$B:$B,0))),1,0))</f>
        <v/>
      </c>
      <c r="E82" s="2" t="str">
        <f>IF($G82="","",IF(AND(OR($O82="Junior",$O82="Woman Junior",$O82="Youth",$O82="Woman Youth"),ISERROR(MATCH($N82,Lge_Junior!$B:$B,0))),1,0))</f>
        <v/>
      </c>
      <c r="F82" s="2" t="str">
        <f>IF($G82="","",IF(AND(LEFT($O82,3)="You",ISERROR(MATCH($N82,Lge_Youth!$B:$B,0))),1,0))</f>
        <v/>
      </c>
      <c r="G82" s="3"/>
      <c r="H82" s="3"/>
      <c r="I82" s="3"/>
      <c r="J82" s="3"/>
      <c r="K82" s="6"/>
      <c r="L82" s="4"/>
      <c r="M82" s="4"/>
      <c r="N82" s="8"/>
      <c r="O82" s="8"/>
      <c r="P82" s="9"/>
      <c r="Q82" s="8"/>
      <c r="R82" s="8"/>
      <c r="S82" s="9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10"/>
    </row>
    <row r="83" spans="1:39" x14ac:dyDescent="0.2">
      <c r="A83" s="2" t="str">
        <f>IF($G83="","",IF(ISERROR(MATCH($N83,Lge_Scratch!$B:$B,0)),1,0))</f>
        <v/>
      </c>
      <c r="B83" s="2" t="str">
        <f>IF($G83="","",IF(AND(LEFT($Q83,8)="Non-aero",ISERROR(MATCH($N83,Lge_NonAero!$B:$B,0))),1,0))</f>
        <v/>
      </c>
      <c r="C83" s="5" t="str">
        <f>IF($G83="","",IF(AND(LEFT($O83,3)="Wom",ISERROR(MATCH($N83,Lge_Women!$B:$B,0))),1,0))</f>
        <v/>
      </c>
      <c r="D83" s="2" t="str">
        <f>IF($G83="","",IF(AND(OR($O83="Vet",$O83="Woman Vet"),ISERROR(MATCH($N83,Lge_Vets!$B:$B,0))),1,0))</f>
        <v/>
      </c>
      <c r="E83" s="2" t="str">
        <f>IF($G83="","",IF(AND(OR($O83="Junior",$O83="Woman Junior",$O83="Youth",$O83="Woman Youth"),ISERROR(MATCH($N83,Lge_Junior!$B:$B,0))),1,0))</f>
        <v/>
      </c>
      <c r="F83" s="2" t="str">
        <f>IF($G83="","",IF(AND(LEFT($O83,3)="You",ISERROR(MATCH($N83,Lge_Youth!$B:$B,0))),1,0))</f>
        <v/>
      </c>
      <c r="G83" s="3"/>
      <c r="H83" s="3"/>
      <c r="I83" s="3"/>
      <c r="J83" s="3"/>
      <c r="K83" s="6"/>
      <c r="L83" s="4"/>
      <c r="M83" s="4"/>
      <c r="N83" s="8"/>
      <c r="O83" s="8"/>
      <c r="P83" s="9"/>
      <c r="Q83" s="8"/>
      <c r="R83" s="8"/>
      <c r="S83" s="9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10"/>
    </row>
    <row r="84" spans="1:39" x14ac:dyDescent="0.2">
      <c r="A84" s="2" t="str">
        <f>IF($G84="","",IF(ISERROR(MATCH($N84,Lge_Scratch!$B:$B,0)),1,0))</f>
        <v/>
      </c>
      <c r="B84" s="2" t="str">
        <f>IF($G84="","",IF(AND(LEFT($Q84,8)="Non-aero",ISERROR(MATCH($N84,Lge_NonAero!$B:$B,0))),1,0))</f>
        <v/>
      </c>
      <c r="C84" s="5" t="str">
        <f>IF($G84="","",IF(AND(LEFT($O84,3)="Wom",ISERROR(MATCH($N84,Lge_Women!$B:$B,0))),1,0))</f>
        <v/>
      </c>
      <c r="D84" s="2" t="str">
        <f>IF($G84="","",IF(AND(OR($O84="Vet",$O84="Woman Vet"),ISERROR(MATCH($N84,Lge_Vets!$B:$B,0))),1,0))</f>
        <v/>
      </c>
      <c r="E84" s="2" t="str">
        <f>IF($G84="","",IF(AND(OR($O84="Junior",$O84="Woman Junior",$O84="Youth",$O84="Woman Youth"),ISERROR(MATCH($N84,Lge_Junior!$B:$B,0))),1,0))</f>
        <v/>
      </c>
      <c r="F84" s="2" t="str">
        <f>IF($G84="","",IF(AND(LEFT($O84,3)="You",ISERROR(MATCH($N84,Lge_Youth!$B:$B,0))),1,0))</f>
        <v/>
      </c>
      <c r="G84" s="3"/>
      <c r="H84" s="3"/>
      <c r="I84" s="3"/>
      <c r="J84" s="3"/>
      <c r="K84" s="6"/>
      <c r="L84" s="4"/>
      <c r="M84" s="4"/>
      <c r="N84" s="8"/>
      <c r="O84" s="8"/>
      <c r="P84" s="9"/>
      <c r="Q84" s="8"/>
      <c r="R84" s="8"/>
      <c r="S84" s="9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10"/>
    </row>
    <row r="85" spans="1:39" x14ac:dyDescent="0.2">
      <c r="A85" s="2" t="str">
        <f>IF($G85="","",IF(ISERROR(MATCH($N85,Lge_Scratch!$B:$B,0)),1,0))</f>
        <v/>
      </c>
      <c r="B85" s="2" t="str">
        <f>IF($G85="","",IF(AND(LEFT($Q85,8)="Non-aero",ISERROR(MATCH($N85,Lge_NonAero!$B:$B,0))),1,0))</f>
        <v/>
      </c>
      <c r="C85" s="5" t="str">
        <f>IF($G85="","",IF(AND(LEFT($O85,3)="Wom",ISERROR(MATCH($N85,Lge_Women!$B:$B,0))),1,0))</f>
        <v/>
      </c>
      <c r="D85" s="2" t="str">
        <f>IF($G85="","",IF(AND(OR($O85="Vet",$O85="Woman Vet"),ISERROR(MATCH($N85,Lge_Vets!$B:$B,0))),1,0))</f>
        <v/>
      </c>
      <c r="E85" s="2" t="str">
        <f>IF($G85="","",IF(AND(OR($O85="Junior",$O85="Woman Junior",$O85="Youth",$O85="Woman Youth"),ISERROR(MATCH($N85,Lge_Junior!$B:$B,0))),1,0))</f>
        <v/>
      </c>
      <c r="F85" s="2" t="str">
        <f>IF($G85="","",IF(AND(LEFT($O85,3)="You",ISERROR(MATCH($N85,Lge_Youth!$B:$B,0))),1,0))</f>
        <v/>
      </c>
      <c r="G85" s="3"/>
      <c r="H85" s="3"/>
      <c r="I85" s="3"/>
      <c r="J85" s="3"/>
      <c r="K85" s="6"/>
      <c r="L85" s="4"/>
      <c r="M85" s="4"/>
      <c r="N85" s="8"/>
      <c r="O85" s="8"/>
      <c r="P85" s="9"/>
      <c r="Q85" s="8"/>
      <c r="R85" s="8"/>
      <c r="S85" s="9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10"/>
    </row>
    <row r="86" spans="1:39" x14ac:dyDescent="0.2">
      <c r="A86" s="2" t="str">
        <f>IF($G86="","",IF(ISERROR(MATCH($N86,Lge_Scratch!$B:$B,0)),1,0))</f>
        <v/>
      </c>
      <c r="B86" s="2" t="str">
        <f>IF($G86="","",IF(AND(LEFT($Q86,8)="Non-aero",ISERROR(MATCH($N86,Lge_NonAero!$B:$B,0))),1,0))</f>
        <v/>
      </c>
      <c r="C86" s="5" t="str">
        <f>IF($G86="","",IF(AND(LEFT($O86,3)="Wom",ISERROR(MATCH($N86,Lge_Women!$B:$B,0))),1,0))</f>
        <v/>
      </c>
      <c r="D86" s="2" t="str">
        <f>IF($G86="","",IF(AND(OR($O86="Vet",$O86="Woman Vet"),ISERROR(MATCH($N86,Lge_Vets!$B:$B,0))),1,0))</f>
        <v/>
      </c>
      <c r="E86" s="2" t="str">
        <f>IF($G86="","",IF(AND(OR($O86="Junior",$O86="Woman Junior",$O86="Youth",$O86="Woman Youth"),ISERROR(MATCH($N86,Lge_Junior!$B:$B,0))),1,0))</f>
        <v/>
      </c>
      <c r="F86" s="2" t="str">
        <f>IF($G86="","",IF(AND(LEFT($O86,3)="You",ISERROR(MATCH($N86,Lge_Youth!$B:$B,0))),1,0))</f>
        <v/>
      </c>
      <c r="G86" s="3"/>
      <c r="H86" s="3"/>
      <c r="I86" s="3"/>
      <c r="J86" s="3"/>
      <c r="K86" s="6"/>
      <c r="L86" s="4"/>
      <c r="M86" s="4"/>
      <c r="N86" s="8"/>
      <c r="O86" s="8"/>
      <c r="P86" s="9"/>
      <c r="Q86" s="8"/>
      <c r="R86" s="8"/>
      <c r="S86" s="9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10"/>
    </row>
    <row r="87" spans="1:39" x14ac:dyDescent="0.2">
      <c r="A87" s="2" t="str">
        <f>IF($G87="","",IF(ISERROR(MATCH($N87,Lge_Scratch!$B:$B,0)),1,0))</f>
        <v/>
      </c>
      <c r="B87" s="2" t="str">
        <f>IF($G87="","",IF(AND(LEFT($Q87,8)="Non-aero",ISERROR(MATCH($N87,Lge_NonAero!$B:$B,0))),1,0))</f>
        <v/>
      </c>
      <c r="C87" s="5" t="str">
        <f>IF($G87="","",IF(AND(LEFT($O87,3)="Wom",ISERROR(MATCH($N87,Lge_Women!$B:$B,0))),1,0))</f>
        <v/>
      </c>
      <c r="D87" s="2" t="str">
        <f>IF($G87="","",IF(AND(OR($O87="Vet",$O87="Woman Vet"),ISERROR(MATCH($N87,Lge_Vets!$B:$B,0))),1,0))</f>
        <v/>
      </c>
      <c r="E87" s="2" t="str">
        <f>IF($G87="","",IF(AND(OR($O87="Junior",$O87="Woman Junior",$O87="Youth",$O87="Woman Youth"),ISERROR(MATCH($N87,Lge_Junior!$B:$B,0))),1,0))</f>
        <v/>
      </c>
      <c r="F87" s="2" t="str">
        <f>IF($G87="","",IF(AND(LEFT($O87,3)="You",ISERROR(MATCH($N87,Lge_Youth!$B:$B,0))),1,0))</f>
        <v/>
      </c>
      <c r="G87" s="3"/>
      <c r="H87" s="3"/>
      <c r="I87" s="3"/>
      <c r="J87" s="3"/>
      <c r="K87" s="6"/>
      <c r="L87" s="4"/>
      <c r="M87" s="4"/>
      <c r="N87" s="8"/>
      <c r="O87" s="8"/>
      <c r="P87" s="9"/>
      <c r="Q87" s="8"/>
      <c r="R87" s="8"/>
      <c r="S87" s="9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10"/>
    </row>
    <row r="88" spans="1:39" x14ac:dyDescent="0.2">
      <c r="A88" s="2" t="str">
        <f>IF($G88="","",IF(ISERROR(MATCH($N88,Lge_Scratch!$B:$B,0)),1,0))</f>
        <v/>
      </c>
      <c r="B88" s="2" t="str">
        <f>IF($G88="","",IF(AND(LEFT($Q88,8)="Non-aero",ISERROR(MATCH($N88,Lge_NonAero!$B:$B,0))),1,0))</f>
        <v/>
      </c>
      <c r="C88" s="5" t="str">
        <f>IF($G88="","",IF(AND(LEFT($O88,3)="Wom",ISERROR(MATCH($N88,Lge_Women!$B:$B,0))),1,0))</f>
        <v/>
      </c>
      <c r="D88" s="2" t="str">
        <f>IF($G88="","",IF(AND(OR($O88="Vet",$O88="Woman Vet"),ISERROR(MATCH($N88,Lge_Vets!$B:$B,0))),1,0))</f>
        <v/>
      </c>
      <c r="E88" s="2" t="str">
        <f>IF($G88="","",IF(AND(OR($O88="Junior",$O88="Woman Junior",$O88="Youth",$O88="Woman Youth"),ISERROR(MATCH($N88,Lge_Junior!$B:$B,0))),1,0))</f>
        <v/>
      </c>
      <c r="F88" s="2" t="str">
        <f>IF($G88="","",IF(AND(LEFT($O88,3)="You",ISERROR(MATCH($N88,Lge_Youth!$B:$B,0))),1,0))</f>
        <v/>
      </c>
      <c r="G88" s="3"/>
      <c r="H88" s="3"/>
      <c r="I88" s="3"/>
      <c r="J88" s="3"/>
      <c r="K88" s="6"/>
      <c r="L88" s="4"/>
      <c r="M88" s="4"/>
      <c r="N88" s="8"/>
      <c r="O88" s="8"/>
      <c r="P88" s="9"/>
      <c r="Q88" s="8"/>
      <c r="R88" s="8"/>
      <c r="S88" s="9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10"/>
    </row>
    <row r="89" spans="1:39" x14ac:dyDescent="0.2">
      <c r="A89" s="2" t="str">
        <f>IF($G89="","",IF(ISERROR(MATCH($N89,Lge_Scratch!$B:$B,0)),1,0))</f>
        <v/>
      </c>
      <c r="B89" s="2" t="str">
        <f>IF($G89="","",IF(AND(LEFT($Q89,8)="Non-aero",ISERROR(MATCH($N89,Lge_NonAero!$B:$B,0))),1,0))</f>
        <v/>
      </c>
      <c r="C89" s="5" t="str">
        <f>IF($G89="","",IF(AND(LEFT($O89,3)="Wom",ISERROR(MATCH($N89,Lge_Women!$B:$B,0))),1,0))</f>
        <v/>
      </c>
      <c r="D89" s="2" t="str">
        <f>IF($G89="","",IF(AND(OR($O89="Vet",$O89="Woman Vet"),ISERROR(MATCH($N89,Lge_Vets!$B:$B,0))),1,0))</f>
        <v/>
      </c>
      <c r="E89" s="2" t="str">
        <f>IF($G89="","",IF(AND(OR($O89="Junior",$O89="Woman Junior",$O89="Youth",$O89="Woman Youth"),ISERROR(MATCH($N89,Lge_Junior!$B:$B,0))),1,0))</f>
        <v/>
      </c>
      <c r="F89" s="2" t="str">
        <f>IF($G89="","",IF(AND(LEFT($O89,3)="You",ISERROR(MATCH($N89,Lge_Youth!$B:$B,0))),1,0))</f>
        <v/>
      </c>
      <c r="G89" s="3"/>
      <c r="H89" s="3"/>
      <c r="I89" s="3"/>
      <c r="J89" s="3"/>
      <c r="K89" s="6"/>
      <c r="L89" s="4"/>
      <c r="M89" s="4"/>
      <c r="N89" s="8"/>
      <c r="O89" s="8"/>
      <c r="P89" s="9"/>
      <c r="Q89" s="8"/>
      <c r="R89" s="8"/>
      <c r="S89" s="9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10"/>
    </row>
    <row r="90" spans="1:39" x14ac:dyDescent="0.2">
      <c r="A90" s="2" t="str">
        <f>IF($G90="","",IF(ISERROR(MATCH($N90,Lge_Scratch!$B:$B,0)),1,0))</f>
        <v/>
      </c>
      <c r="B90" s="2" t="str">
        <f>IF($G90="","",IF(AND(LEFT($Q90,8)="Non-aero",ISERROR(MATCH($N90,Lge_NonAero!$B:$B,0))),1,0))</f>
        <v/>
      </c>
      <c r="C90" s="5" t="str">
        <f>IF($G90="","",IF(AND(LEFT($O90,3)="Wom",ISERROR(MATCH($N90,Lge_Women!$B:$B,0))),1,0))</f>
        <v/>
      </c>
      <c r="D90" s="2" t="str">
        <f>IF($G90="","",IF(AND(OR($O90="Vet",$O90="Woman Vet"),ISERROR(MATCH($N90,Lge_Vets!$B:$B,0))),1,0))</f>
        <v/>
      </c>
      <c r="E90" s="2" t="str">
        <f>IF($G90="","",IF(AND(OR($O90="Junior",$O90="Woman Junior",$O90="Youth",$O90="Woman Youth"),ISERROR(MATCH($N90,Lge_Junior!$B:$B,0))),1,0))</f>
        <v/>
      </c>
      <c r="F90" s="2" t="str">
        <f>IF($G90="","",IF(AND(LEFT($O90,3)="You",ISERROR(MATCH($N90,Lge_Youth!$B:$B,0))),1,0))</f>
        <v/>
      </c>
      <c r="G90" s="3"/>
      <c r="H90" s="3"/>
      <c r="I90" s="3"/>
      <c r="J90" s="3"/>
      <c r="K90" s="6"/>
      <c r="L90" s="4"/>
      <c r="M90" s="4"/>
      <c r="N90" s="8"/>
      <c r="O90" s="8"/>
      <c r="P90" s="9"/>
      <c r="Q90" s="8"/>
      <c r="R90" s="8"/>
      <c r="S90" s="9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10"/>
    </row>
    <row r="91" spans="1:39" x14ac:dyDescent="0.2">
      <c r="A91" s="2" t="str">
        <f>IF($G91="","",IF(ISERROR(MATCH($N91,Lge_Scratch!$B:$B,0)),1,0))</f>
        <v/>
      </c>
      <c r="B91" s="2" t="str">
        <f>IF($G91="","",IF(AND(LEFT($Q91,8)="Non-aero",ISERROR(MATCH($N91,Lge_NonAero!$B:$B,0))),1,0))</f>
        <v/>
      </c>
      <c r="C91" s="5" t="str">
        <f>IF($G91="","",IF(AND(LEFT($O91,3)="Wom",ISERROR(MATCH($N91,Lge_Women!$B:$B,0))),1,0))</f>
        <v/>
      </c>
      <c r="D91" s="2" t="str">
        <f>IF($G91="","",IF(AND(OR($O91="Vet",$O91="Woman Vet"),ISERROR(MATCH($N91,Lge_Vets!$B:$B,0))),1,0))</f>
        <v/>
      </c>
      <c r="E91" s="2" t="str">
        <f>IF($G91="","",IF(AND(OR($O91="Junior",$O91="Woman Junior",$O91="Youth",$O91="Woman Youth"),ISERROR(MATCH($N91,Lge_Junior!$B:$B,0))),1,0))</f>
        <v/>
      </c>
      <c r="F91" s="2" t="str">
        <f>IF($G91="","",IF(AND(LEFT($O91,3)="You",ISERROR(MATCH($N91,Lge_Youth!$B:$B,0))),1,0))</f>
        <v/>
      </c>
      <c r="G91" s="3"/>
      <c r="H91" s="3"/>
      <c r="I91" s="3"/>
      <c r="J91" s="3"/>
      <c r="K91" s="6"/>
      <c r="L91" s="4"/>
      <c r="M91" s="4"/>
      <c r="N91" s="8"/>
      <c r="O91" s="8"/>
      <c r="P91" s="9"/>
      <c r="Q91" s="8"/>
      <c r="R91" s="8"/>
      <c r="S91" s="9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10"/>
    </row>
    <row r="92" spans="1:39" x14ac:dyDescent="0.2">
      <c r="A92" s="2" t="str">
        <f>IF($G92="","",IF(ISERROR(MATCH($N92,Lge_Scratch!$B:$B,0)),1,0))</f>
        <v/>
      </c>
      <c r="B92" s="2" t="str">
        <f>IF($G92="","",IF(AND(LEFT($Q92,8)="Non-aero",ISERROR(MATCH($N92,Lge_NonAero!$B:$B,0))),1,0))</f>
        <v/>
      </c>
      <c r="C92" s="5" t="str">
        <f>IF($G92="","",IF(AND(LEFT($O92,3)="Wom",ISERROR(MATCH($N92,Lge_Women!$B:$B,0))),1,0))</f>
        <v/>
      </c>
      <c r="D92" s="2" t="str">
        <f>IF($G92="","",IF(AND(OR($O92="Vet",$O92="Woman Vet"),ISERROR(MATCH($N92,Lge_Vets!$B:$B,0))),1,0))</f>
        <v/>
      </c>
      <c r="E92" s="2" t="str">
        <f>IF($G92="","",IF(AND(OR($O92="Junior",$O92="Woman Junior",$O92="Youth",$O92="Woman Youth"),ISERROR(MATCH($N92,Lge_Junior!$B:$B,0))),1,0))</f>
        <v/>
      </c>
      <c r="F92" s="2" t="str">
        <f>IF($G92="","",IF(AND(LEFT($O92,3)="You",ISERROR(MATCH($N92,Lge_Youth!$B:$B,0))),1,0))</f>
        <v/>
      </c>
      <c r="G92" s="3"/>
      <c r="H92" s="3"/>
      <c r="I92" s="3"/>
      <c r="J92" s="3"/>
      <c r="K92" s="6"/>
      <c r="L92" s="4"/>
      <c r="M92" s="4"/>
      <c r="N92" s="8"/>
      <c r="O92" s="8"/>
      <c r="P92" s="9"/>
      <c r="Q92" s="8"/>
      <c r="R92" s="8"/>
      <c r="S92" s="9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10"/>
    </row>
    <row r="93" spans="1:39" x14ac:dyDescent="0.2">
      <c r="A93" s="2" t="str">
        <f>IF($G93="","",IF(ISERROR(MATCH($N93,Lge_Scratch!$B:$B,0)),1,0))</f>
        <v/>
      </c>
      <c r="B93" s="2" t="str">
        <f>IF($G93="","",IF(AND(LEFT($Q93,8)="Non-aero",ISERROR(MATCH($N93,Lge_NonAero!$B:$B,0))),1,0))</f>
        <v/>
      </c>
      <c r="C93" s="5" t="str">
        <f>IF($G93="","",IF(AND(LEFT($O93,3)="Wom",ISERROR(MATCH($N93,Lge_Women!$B:$B,0))),1,0))</f>
        <v/>
      </c>
      <c r="D93" s="2" t="str">
        <f>IF($G93="","",IF(AND(OR($O93="Vet",$O93="Woman Vet"),ISERROR(MATCH($N93,Lge_Vets!$B:$B,0))),1,0))</f>
        <v/>
      </c>
      <c r="E93" s="2" t="str">
        <f>IF($G93="","",IF(AND(OR($O93="Junior",$O93="Woman Junior",$O93="Youth",$O93="Woman Youth"),ISERROR(MATCH($N93,Lge_Junior!$B:$B,0))),1,0))</f>
        <v/>
      </c>
      <c r="F93" s="2" t="str">
        <f>IF($G93="","",IF(AND(LEFT($O93,3)="You",ISERROR(MATCH($N93,Lge_Youth!$B:$B,0))),1,0))</f>
        <v/>
      </c>
      <c r="G93" s="3"/>
      <c r="H93" s="3"/>
      <c r="I93" s="3"/>
      <c r="J93" s="3"/>
      <c r="K93" s="6"/>
      <c r="L93" s="4"/>
      <c r="M93" s="4"/>
      <c r="N93" s="8"/>
      <c r="O93" s="8"/>
      <c r="P93" s="9"/>
      <c r="Q93" s="8"/>
      <c r="R93" s="8"/>
      <c r="S93" s="9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10"/>
    </row>
    <row r="94" spans="1:39" x14ac:dyDescent="0.2">
      <c r="A94" s="2" t="str">
        <f>IF($G94="","",IF(ISERROR(MATCH($N94,Lge_Scratch!$B:$B,0)),1,0))</f>
        <v/>
      </c>
      <c r="B94" s="2" t="str">
        <f>IF($G94="","",IF(AND(LEFT($Q94,8)="Non-aero",ISERROR(MATCH($N94,Lge_NonAero!$B:$B,0))),1,0))</f>
        <v/>
      </c>
      <c r="C94" s="5" t="str">
        <f>IF($G94="","",IF(AND(LEFT($O94,3)="Wom",ISERROR(MATCH($N94,Lge_Women!$B:$B,0))),1,0))</f>
        <v/>
      </c>
      <c r="D94" s="2" t="str">
        <f>IF($G94="","",IF(AND(OR($O94="Vet",$O94="Woman Vet"),ISERROR(MATCH($N94,Lge_Vets!$B:$B,0))),1,0))</f>
        <v/>
      </c>
      <c r="E94" s="2" t="str">
        <f>IF($G94="","",IF(AND(OR($O94="Junior",$O94="Woman Junior",$O94="Youth",$O94="Woman Youth"),ISERROR(MATCH($N94,Lge_Junior!$B:$B,0))),1,0))</f>
        <v/>
      </c>
      <c r="F94" s="2" t="str">
        <f>IF($G94="","",IF(AND(LEFT($O94,3)="You",ISERROR(MATCH($N94,Lge_Youth!$B:$B,0))),1,0))</f>
        <v/>
      </c>
      <c r="G94" s="3"/>
      <c r="H94" s="3"/>
      <c r="I94" s="3"/>
      <c r="J94" s="3"/>
      <c r="K94" s="6"/>
      <c r="L94" s="4"/>
      <c r="M94" s="4"/>
      <c r="N94" s="8"/>
      <c r="O94" s="8"/>
      <c r="P94" s="9"/>
      <c r="Q94" s="8"/>
      <c r="R94" s="8"/>
      <c r="S94" s="9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10"/>
    </row>
    <row r="95" spans="1:39" x14ac:dyDescent="0.2">
      <c r="A95" s="2" t="str">
        <f>IF($G95="","",IF(ISERROR(MATCH($N95,Lge_Scratch!$B:$B,0)),1,0))</f>
        <v/>
      </c>
      <c r="B95" s="2" t="str">
        <f>IF($G95="","",IF(AND(LEFT($Q95,8)="Non-aero",ISERROR(MATCH($N95,Lge_NonAero!$B:$B,0))),1,0))</f>
        <v/>
      </c>
      <c r="C95" s="5" t="str">
        <f>IF($G95="","",IF(AND(LEFT($O95,3)="Wom",ISERROR(MATCH($N95,Lge_Women!$B:$B,0))),1,0))</f>
        <v/>
      </c>
      <c r="D95" s="2" t="str">
        <f>IF($G95="","",IF(AND(OR($O95="Vet",$O95="Woman Vet"),ISERROR(MATCH($N95,Lge_Vets!$B:$B,0))),1,0))</f>
        <v/>
      </c>
      <c r="E95" s="2" t="str">
        <f>IF($G95="","",IF(AND(OR($O95="Junior",$O95="Woman Junior",$O95="Youth",$O95="Woman Youth"),ISERROR(MATCH($N95,Lge_Junior!$B:$B,0))),1,0))</f>
        <v/>
      </c>
      <c r="F95" s="2" t="str">
        <f>IF($G95="","",IF(AND(LEFT($O95,3)="You",ISERROR(MATCH($N95,Lge_Youth!$B:$B,0))),1,0))</f>
        <v/>
      </c>
      <c r="G95" s="3"/>
      <c r="H95" s="3"/>
      <c r="I95" s="3"/>
      <c r="J95" s="3"/>
      <c r="K95" s="6"/>
      <c r="L95" s="4"/>
      <c r="M95" s="4"/>
      <c r="N95" s="8"/>
      <c r="O95" s="8"/>
      <c r="P95" s="9"/>
      <c r="Q95" s="8"/>
      <c r="R95" s="8"/>
      <c r="S95" s="9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10"/>
    </row>
    <row r="96" spans="1:39" x14ac:dyDescent="0.2">
      <c r="A96" s="2" t="str">
        <f>IF($G96="","",IF(ISERROR(MATCH($N96,Lge_Scratch!$B:$B,0)),1,0))</f>
        <v/>
      </c>
      <c r="B96" s="2" t="str">
        <f>IF($G96="","",IF(AND(LEFT($Q96,8)="Non-aero",ISERROR(MATCH($N96,Lge_NonAero!$B:$B,0))),1,0))</f>
        <v/>
      </c>
      <c r="C96" s="5" t="str">
        <f>IF($G96="","",IF(AND(LEFT($O96,3)="Wom",ISERROR(MATCH($N96,Lge_Women!$B:$B,0))),1,0))</f>
        <v/>
      </c>
      <c r="D96" s="2" t="str">
        <f>IF($G96="","",IF(AND(OR($O96="Vet",$O96="Woman Vet"),ISERROR(MATCH($N96,Lge_Vets!$B:$B,0))),1,0))</f>
        <v/>
      </c>
      <c r="E96" s="2" t="str">
        <f>IF($G96="","",IF(AND(OR($O96="Junior",$O96="Woman Junior",$O96="Youth",$O96="Woman Youth"),ISERROR(MATCH($N96,Lge_Junior!$B:$B,0))),1,0))</f>
        <v/>
      </c>
      <c r="F96" s="2" t="str">
        <f>IF($G96="","",IF(AND(LEFT($O96,3)="You",ISERROR(MATCH($N96,Lge_Youth!$B:$B,0))),1,0))</f>
        <v/>
      </c>
      <c r="G96" s="3"/>
      <c r="H96" s="3"/>
      <c r="I96" s="3"/>
      <c r="J96" s="3"/>
      <c r="K96" s="6"/>
      <c r="L96" s="4"/>
      <c r="M96" s="4"/>
      <c r="N96" s="8"/>
      <c r="O96" s="8"/>
      <c r="P96" s="9"/>
      <c r="Q96" s="8"/>
      <c r="R96" s="8"/>
      <c r="S96" s="9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10"/>
    </row>
    <row r="97" spans="1:39" x14ac:dyDescent="0.2">
      <c r="A97" s="2" t="str">
        <f>IF($G97="","",IF(ISERROR(MATCH($N97,Lge_Scratch!$B:$B,0)),1,0))</f>
        <v/>
      </c>
      <c r="B97" s="2" t="str">
        <f>IF($G97="","",IF(AND(LEFT($Q97,8)="Non-aero",ISERROR(MATCH($N97,Lge_NonAero!$B:$B,0))),1,0))</f>
        <v/>
      </c>
      <c r="C97" s="5" t="str">
        <f>IF($G97="","",IF(AND(LEFT($O97,3)="Wom",ISERROR(MATCH($N97,Lge_Women!$B:$B,0))),1,0))</f>
        <v/>
      </c>
      <c r="D97" s="2" t="str">
        <f>IF($G97="","",IF(AND(OR($O97="Vet",$O97="Woman Vet"),ISERROR(MATCH($N97,Lge_Vets!$B:$B,0))),1,0))</f>
        <v/>
      </c>
      <c r="E97" s="2" t="str">
        <f>IF($G97="","",IF(AND(OR($O97="Junior",$O97="Woman Junior",$O97="Youth",$O97="Woman Youth"),ISERROR(MATCH($N97,Lge_Junior!$B:$B,0))),1,0))</f>
        <v/>
      </c>
      <c r="F97" s="2" t="str">
        <f>IF($G97="","",IF(AND(LEFT($O97,3)="You",ISERROR(MATCH($N97,Lge_Youth!$B:$B,0))),1,0))</f>
        <v/>
      </c>
      <c r="G97" s="3"/>
      <c r="H97" s="3"/>
      <c r="I97" s="3"/>
      <c r="J97" s="3"/>
      <c r="K97" s="6"/>
      <c r="L97" s="4"/>
      <c r="M97" s="4"/>
      <c r="N97" s="8"/>
      <c r="O97" s="8"/>
      <c r="P97" s="9"/>
      <c r="Q97" s="8"/>
      <c r="R97" s="8"/>
      <c r="S97" s="9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10"/>
    </row>
    <row r="98" spans="1:39" x14ac:dyDescent="0.2">
      <c r="A98" s="2" t="str">
        <f>IF($G98="","",IF(ISERROR(MATCH($N98,Lge_Scratch!$B:$B,0)),1,0))</f>
        <v/>
      </c>
      <c r="B98" s="2" t="str">
        <f>IF($G98="","",IF(AND(LEFT($Q98,8)="Non-aero",ISERROR(MATCH($N98,Lge_NonAero!$B:$B,0))),1,0))</f>
        <v/>
      </c>
      <c r="C98" s="5" t="str">
        <f>IF($G98="","",IF(AND(LEFT($O98,3)="Wom",ISERROR(MATCH($N98,Lge_Women!$B:$B,0))),1,0))</f>
        <v/>
      </c>
      <c r="D98" s="2" t="str">
        <f>IF($G98="","",IF(AND(OR($O98="Vet",$O98="Woman Vet"),ISERROR(MATCH($N98,Lge_Vets!$B:$B,0))),1,0))</f>
        <v/>
      </c>
      <c r="E98" s="2" t="str">
        <f>IF($G98="","",IF(AND(OR($O98="Junior",$O98="Woman Junior",$O98="Youth",$O98="Woman Youth"),ISERROR(MATCH($N98,Lge_Junior!$B:$B,0))),1,0))</f>
        <v/>
      </c>
      <c r="F98" s="2" t="str">
        <f>IF($G98="","",IF(AND(LEFT($O98,3)="You",ISERROR(MATCH($N98,Lge_Youth!$B:$B,0))),1,0))</f>
        <v/>
      </c>
      <c r="G98" s="3"/>
      <c r="H98" s="3"/>
      <c r="I98" s="3"/>
      <c r="J98" s="3"/>
      <c r="K98" s="6"/>
      <c r="L98" s="4"/>
      <c r="M98" s="4"/>
      <c r="N98" s="8"/>
      <c r="O98" s="8"/>
      <c r="P98" s="9"/>
      <c r="Q98" s="8"/>
      <c r="R98" s="8"/>
      <c r="S98" s="9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10"/>
    </row>
    <row r="99" spans="1:39" x14ac:dyDescent="0.2">
      <c r="A99" s="2" t="str">
        <f>IF($G99="","",IF(ISERROR(MATCH($N99,Lge_Scratch!$B:$B,0)),1,0))</f>
        <v/>
      </c>
      <c r="B99" s="2" t="str">
        <f>IF($G99="","",IF(AND(LEFT($Q99,8)="Non-aero",ISERROR(MATCH($N99,Lge_NonAero!$B:$B,0))),1,0))</f>
        <v/>
      </c>
      <c r="C99" s="5" t="str">
        <f>IF($G99="","",IF(AND(LEFT($O99,3)="Wom",ISERROR(MATCH($N99,Lge_Women!$B:$B,0))),1,0))</f>
        <v/>
      </c>
      <c r="D99" s="2" t="str">
        <f>IF($G99="","",IF(AND(OR($O99="Vet",$O99="Woman Vet"),ISERROR(MATCH($N99,Lge_Vets!$B:$B,0))),1,0))</f>
        <v/>
      </c>
      <c r="E99" s="2" t="str">
        <f>IF($G99="","",IF(AND(OR($O99="Junior",$O99="Woman Junior",$O99="Youth",$O99="Woman Youth"),ISERROR(MATCH($N99,Lge_Junior!$B:$B,0))),1,0))</f>
        <v/>
      </c>
      <c r="F99" s="2" t="str">
        <f>IF($G99="","",IF(AND(LEFT($O99,3)="You",ISERROR(MATCH($N99,Lge_Youth!$B:$B,0))),1,0))</f>
        <v/>
      </c>
      <c r="G99" s="3"/>
      <c r="H99" s="3"/>
      <c r="I99" s="3"/>
      <c r="J99" s="3"/>
      <c r="K99" s="6"/>
      <c r="L99" s="4"/>
      <c r="M99" s="4"/>
      <c r="N99" s="8"/>
      <c r="O99" s="8"/>
      <c r="P99" s="9"/>
      <c r="Q99" s="8"/>
      <c r="R99" s="8"/>
      <c r="S99" s="9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10"/>
    </row>
    <row r="100" spans="1:39" x14ac:dyDescent="0.2">
      <c r="A100" s="2" t="str">
        <f>IF($G100="","",IF(ISERROR(MATCH($N100,Lge_Scratch!$B:$B,0)),1,0))</f>
        <v/>
      </c>
      <c r="B100" s="2" t="str">
        <f>IF($G100="","",IF(AND(LEFT($Q100,8)="Non-aero",ISERROR(MATCH($N100,Lge_NonAero!$B:$B,0))),1,0))</f>
        <v/>
      </c>
      <c r="C100" s="5" t="str">
        <f>IF($G100="","",IF(AND(LEFT($O100,3)="Wom",ISERROR(MATCH($N100,Lge_Women!$B:$B,0))),1,0))</f>
        <v/>
      </c>
      <c r="D100" s="2" t="str">
        <f>IF($G100="","",IF(AND(OR($O100="Vet",$O100="Woman Vet"),ISERROR(MATCH($N100,Lge_Vets!$B:$B,0))),1,0))</f>
        <v/>
      </c>
      <c r="E100" s="2" t="str">
        <f>IF($G100="","",IF(AND(OR($O100="Junior",$O100="Woman Junior",$O100="Youth",$O100="Woman Youth"),ISERROR(MATCH($N100,Lge_Junior!$B:$B,0))),1,0))</f>
        <v/>
      </c>
      <c r="F100" s="2" t="str">
        <f>IF($G100="","",IF(AND(LEFT($O100,3)="You",ISERROR(MATCH($N100,Lge_Youth!$B:$B,0))),1,0))</f>
        <v/>
      </c>
      <c r="G100" s="3"/>
      <c r="H100" s="3"/>
      <c r="I100" s="3"/>
      <c r="J100" s="3"/>
      <c r="K100" s="6"/>
      <c r="L100" s="4"/>
      <c r="M100" s="4"/>
      <c r="N100" s="8"/>
      <c r="O100" s="8"/>
      <c r="P100" s="9"/>
      <c r="Q100" s="8"/>
      <c r="R100" s="8"/>
      <c r="S100" s="9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10"/>
    </row>
    <row r="101" spans="1:39" x14ac:dyDescent="0.2">
      <c r="A101" s="2" t="str">
        <f>IF($G101="","",IF(ISERROR(MATCH($N101,Lge_Scratch!$B:$B,0)),1,0))</f>
        <v/>
      </c>
      <c r="B101" s="2" t="str">
        <f>IF($G101="","",IF(AND(LEFT($Q101,8)="Non-aero",ISERROR(MATCH($N101,Lge_NonAero!$B:$B,0))),1,0))</f>
        <v/>
      </c>
      <c r="C101" s="5" t="str">
        <f>IF($G101="","",IF(AND(LEFT($O101,3)="Wom",ISERROR(MATCH($N101,Lge_Women!$B:$B,0))),1,0))</f>
        <v/>
      </c>
      <c r="D101" s="2" t="str">
        <f>IF($G101="","",IF(AND(OR($O101="Vet",$O101="Woman Vet"),ISERROR(MATCH($N101,Lge_Vets!$B:$B,0))),1,0))</f>
        <v/>
      </c>
      <c r="E101" s="2" t="str">
        <f>IF($G101="","",IF(AND(OR($O101="Junior",$O101="Woman Junior",$O101="Youth",$O101="Woman Youth"),ISERROR(MATCH($N101,Lge_Junior!$B:$B,0))),1,0))</f>
        <v/>
      </c>
      <c r="F101" s="2" t="str">
        <f>IF($G101="","",IF(AND(LEFT($O101,3)="You",ISERROR(MATCH($N101,Lge_Youth!$B:$B,0))),1,0))</f>
        <v/>
      </c>
      <c r="G101" s="3"/>
      <c r="H101" s="3"/>
      <c r="I101" s="3"/>
      <c r="J101" s="3"/>
      <c r="K101" s="6"/>
      <c r="L101" s="4"/>
      <c r="M101" s="4"/>
      <c r="N101" s="8"/>
      <c r="O101" s="8"/>
      <c r="P101" s="9"/>
      <c r="Q101" s="8"/>
      <c r="R101" s="8"/>
      <c r="S101" s="9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10"/>
    </row>
    <row r="102" spans="1:39" x14ac:dyDescent="0.2">
      <c r="A102" s="2" t="str">
        <f>IF($G102="","",IF(ISERROR(MATCH($N102,Lge_Scratch!$B:$B,0)),1,0))</f>
        <v/>
      </c>
      <c r="B102" s="2" t="str">
        <f>IF($G102="","",IF(AND(LEFT($Q102,8)="Non-aero",ISERROR(MATCH($N102,Lge_NonAero!$B:$B,0))),1,0))</f>
        <v/>
      </c>
      <c r="C102" s="5" t="str">
        <f>IF($G102="","",IF(AND(LEFT($O102,3)="Wom",ISERROR(MATCH($N102,Lge_Women!$B:$B,0))),1,0))</f>
        <v/>
      </c>
      <c r="D102" s="2" t="str">
        <f>IF($G102="","",IF(AND(OR($O102="Vet",$O102="Woman Vet"),ISERROR(MATCH($N102,Lge_Vets!$B:$B,0))),1,0))</f>
        <v/>
      </c>
      <c r="E102" s="2" t="str">
        <f>IF($G102="","",IF(AND(OR($O102="Junior",$O102="Woman Junior",$O102="Youth",$O102="Woman Youth"),ISERROR(MATCH($N102,Lge_Junior!$B:$B,0))),1,0))</f>
        <v/>
      </c>
      <c r="F102" s="2" t="str">
        <f>IF($G102="","",IF(AND(LEFT($O102,3)="You",ISERROR(MATCH($N102,Lge_Youth!$B:$B,0))),1,0))</f>
        <v/>
      </c>
      <c r="G102" s="3"/>
      <c r="H102" s="3"/>
      <c r="I102" s="3"/>
      <c r="J102" s="3"/>
      <c r="K102" s="6"/>
      <c r="L102" s="4"/>
      <c r="M102" s="4"/>
      <c r="N102" s="8"/>
      <c r="O102" s="8"/>
      <c r="P102" s="9"/>
      <c r="Q102" s="8"/>
      <c r="R102" s="8"/>
      <c r="S102" s="9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10"/>
    </row>
    <row r="103" spans="1:39" x14ac:dyDescent="0.2">
      <c r="A103" s="2" t="str">
        <f>IF($G103="","",IF(ISERROR(MATCH($N103,Lge_Scratch!$B:$B,0)),1,0))</f>
        <v/>
      </c>
      <c r="B103" s="2" t="str">
        <f>IF($G103="","",IF(AND(LEFT($Q103,8)="Non-aero",ISERROR(MATCH($N103,Lge_NonAero!$B:$B,0))),1,0))</f>
        <v/>
      </c>
      <c r="C103" s="5" t="str">
        <f>IF($G103="","",IF(AND(LEFT($O103,3)="Wom",ISERROR(MATCH($N103,Lge_Women!$B:$B,0))),1,0))</f>
        <v/>
      </c>
      <c r="D103" s="2" t="str">
        <f>IF($G103="","",IF(AND(OR($O103="Vet",$O103="Woman Vet"),ISERROR(MATCH($N103,Lge_Vets!$B:$B,0))),1,0))</f>
        <v/>
      </c>
      <c r="E103" s="2" t="str">
        <f>IF($G103="","",IF(AND(OR($O103="Junior",$O103="Woman Junior",$O103="Youth",$O103="Woman Youth"),ISERROR(MATCH($N103,Lge_Junior!$B:$B,0))),1,0))</f>
        <v/>
      </c>
      <c r="F103" s="2" t="str">
        <f>IF($G103="","",IF(AND(LEFT($O103,3)="You",ISERROR(MATCH($N103,Lge_Youth!$B:$B,0))),1,0))</f>
        <v/>
      </c>
      <c r="G103" s="3"/>
      <c r="H103" s="3"/>
      <c r="I103" s="3"/>
      <c r="J103" s="3"/>
      <c r="K103" s="6"/>
      <c r="L103" s="4"/>
      <c r="M103" s="4"/>
      <c r="N103" s="8"/>
      <c r="O103" s="8"/>
      <c r="P103" s="9"/>
      <c r="Q103" s="8"/>
      <c r="R103" s="8"/>
      <c r="S103" s="9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10"/>
    </row>
    <row r="104" spans="1:39" x14ac:dyDescent="0.2">
      <c r="A104" s="2" t="str">
        <f>IF($G104="","",IF(ISERROR(MATCH($N104,Lge_Scratch!$B:$B,0)),1,0))</f>
        <v/>
      </c>
      <c r="B104" s="2" t="str">
        <f>IF($G104="","",IF(AND(LEFT($Q104,8)="Non-aero",ISERROR(MATCH($N104,Lge_NonAero!$B:$B,0))),1,0))</f>
        <v/>
      </c>
      <c r="C104" s="5" t="str">
        <f>IF($G104="","",IF(AND(LEFT($O104,3)="Wom",ISERROR(MATCH($N104,Lge_Women!$B:$B,0))),1,0))</f>
        <v/>
      </c>
      <c r="D104" s="2" t="str">
        <f>IF($G104="","",IF(AND(OR($O104="Vet",$O104="Woman Vet"),ISERROR(MATCH($N104,Lge_Vets!$B:$B,0))),1,0))</f>
        <v/>
      </c>
      <c r="E104" s="2" t="str">
        <f>IF($G104="","",IF(AND(OR($O104="Junior",$O104="Woman Junior",$O104="Youth",$O104="Woman Youth"),ISERROR(MATCH($N104,Lge_Junior!$B:$B,0))),1,0))</f>
        <v/>
      </c>
      <c r="F104" s="2" t="str">
        <f>IF($G104="","",IF(AND(LEFT($O104,3)="You",ISERROR(MATCH($N104,Lge_Youth!$B:$B,0))),1,0))</f>
        <v/>
      </c>
      <c r="G104" s="3"/>
      <c r="H104" s="3"/>
      <c r="I104" s="3"/>
      <c r="J104" s="3"/>
      <c r="K104" s="6"/>
      <c r="L104" s="4"/>
      <c r="M104" s="4"/>
      <c r="N104" s="8"/>
      <c r="O104" s="8"/>
      <c r="P104" s="9"/>
      <c r="Q104" s="8"/>
      <c r="R104" s="8"/>
      <c r="S104" s="9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10"/>
    </row>
    <row r="105" spans="1:39" x14ac:dyDescent="0.2">
      <c r="A105" s="2" t="str">
        <f>IF($G105="","",IF(ISERROR(MATCH($N105,Lge_Scratch!$B:$B,0)),1,0))</f>
        <v/>
      </c>
      <c r="B105" s="2" t="str">
        <f>IF($G105="","",IF(AND(LEFT($Q105,8)="Non-aero",ISERROR(MATCH($N105,Lge_NonAero!$B:$B,0))),1,0))</f>
        <v/>
      </c>
      <c r="C105" s="5" t="str">
        <f>IF($G105="","",IF(AND(LEFT($O105,3)="Wom",ISERROR(MATCH($N105,Lge_Women!$B:$B,0))),1,0))</f>
        <v/>
      </c>
      <c r="D105" s="2" t="str">
        <f>IF($G105="","",IF(AND(OR($O105="Vet",$O105="Woman Vet"),ISERROR(MATCH($N105,Lge_Vets!$B:$B,0))),1,0))</f>
        <v/>
      </c>
      <c r="E105" s="2" t="str">
        <f>IF($G105="","",IF(AND(OR($O105="Junior",$O105="Woman Junior",$O105="Youth",$O105="Woman Youth"),ISERROR(MATCH($N105,Lge_Junior!$B:$B,0))),1,0))</f>
        <v/>
      </c>
      <c r="F105" s="2" t="str">
        <f>IF($G105="","",IF(AND(LEFT($O105,3)="You",ISERROR(MATCH($N105,Lge_Youth!$B:$B,0))),1,0))</f>
        <v/>
      </c>
      <c r="G105" s="3"/>
      <c r="H105" s="3"/>
      <c r="I105" s="3"/>
      <c r="J105" s="3"/>
      <c r="K105" s="6"/>
      <c r="L105" s="4"/>
      <c r="M105" s="4"/>
      <c r="N105" s="8"/>
      <c r="O105" s="8"/>
      <c r="P105" s="9"/>
      <c r="Q105" s="8"/>
      <c r="R105" s="8"/>
      <c r="S105" s="9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10"/>
    </row>
    <row r="106" spans="1:39" x14ac:dyDescent="0.2">
      <c r="A106" s="2" t="str">
        <f>IF($G106="","",IF(ISERROR(MATCH($N106,Lge_Scratch!$B:$B,0)),1,0))</f>
        <v/>
      </c>
      <c r="B106" s="2" t="str">
        <f>IF($G106="","",IF(AND(LEFT($Q106,8)="Non-aero",ISERROR(MATCH($N106,Lge_NonAero!$B:$B,0))),1,0))</f>
        <v/>
      </c>
      <c r="C106" s="5" t="str">
        <f>IF($G106="","",IF(AND(LEFT($O106,3)="Wom",ISERROR(MATCH($N106,Lge_Women!$B:$B,0))),1,0))</f>
        <v/>
      </c>
      <c r="D106" s="2" t="str">
        <f>IF($G106="","",IF(AND(OR($O106="Vet",$O106="Woman Vet"),ISERROR(MATCH($N106,Lge_Vets!$B:$B,0))),1,0))</f>
        <v/>
      </c>
      <c r="E106" s="2" t="str">
        <f>IF($G106="","",IF(AND(OR($O106="Junior",$O106="Woman Junior",$O106="Youth",$O106="Woman Youth"),ISERROR(MATCH($N106,Lge_Junior!$B:$B,0))),1,0))</f>
        <v/>
      </c>
      <c r="F106" s="2" t="str">
        <f>IF($G106="","",IF(AND(LEFT($O106,3)="You",ISERROR(MATCH($N106,Lge_Youth!$B:$B,0))),1,0))</f>
        <v/>
      </c>
      <c r="G106" s="3"/>
      <c r="H106" s="3"/>
      <c r="I106" s="3"/>
      <c r="J106" s="3"/>
      <c r="K106" s="6"/>
      <c r="L106" s="4"/>
      <c r="M106" s="4"/>
      <c r="N106" s="8"/>
      <c r="O106" s="8"/>
      <c r="P106" s="9"/>
      <c r="Q106" s="8"/>
      <c r="R106" s="8"/>
      <c r="S106" s="9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10"/>
    </row>
    <row r="107" spans="1:39" x14ac:dyDescent="0.2">
      <c r="A107" s="2" t="str">
        <f>IF($G107="","",IF(ISERROR(MATCH($N107,Lge_Scratch!$B:$B,0)),1,0))</f>
        <v/>
      </c>
      <c r="B107" s="2" t="str">
        <f>IF($G107="","",IF(AND(LEFT($Q107,8)="Non-aero",ISERROR(MATCH($N107,Lge_NonAero!$B:$B,0))),1,0))</f>
        <v/>
      </c>
      <c r="C107" s="5" t="str">
        <f>IF($G107="","",IF(AND(LEFT($O107,3)="Wom",ISERROR(MATCH($N107,Lge_Women!$B:$B,0))),1,0))</f>
        <v/>
      </c>
      <c r="D107" s="2" t="str">
        <f>IF($G107="","",IF(AND(OR($O107="Vet",$O107="Woman Vet"),ISERROR(MATCH($N107,Lge_Vets!$B:$B,0))),1,0))</f>
        <v/>
      </c>
      <c r="E107" s="2" t="str">
        <f>IF($G107="","",IF(AND(OR($O107="Junior",$O107="Woman Junior",$O107="Youth",$O107="Woman Youth"),ISERROR(MATCH($N107,Lge_Junior!$B:$B,0))),1,0))</f>
        <v/>
      </c>
      <c r="F107" s="2" t="str">
        <f>IF($G107="","",IF(AND(LEFT($O107,3)="You",ISERROR(MATCH($N107,Lge_Youth!$B:$B,0))),1,0))</f>
        <v/>
      </c>
      <c r="G107" s="3"/>
      <c r="H107" s="3"/>
      <c r="I107" s="3"/>
      <c r="J107" s="3"/>
      <c r="K107" s="6"/>
      <c r="L107" s="4"/>
      <c r="M107" s="4"/>
      <c r="N107" s="8"/>
      <c r="O107" s="8"/>
      <c r="P107" s="9"/>
      <c r="Q107" s="8"/>
      <c r="R107" s="8"/>
      <c r="S107" s="9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10"/>
    </row>
    <row r="108" spans="1:39" x14ac:dyDescent="0.2">
      <c r="A108" s="2" t="str">
        <f>IF($G108="","",IF(ISERROR(MATCH($N108,Lge_Scratch!$B:$B,0)),1,0))</f>
        <v/>
      </c>
      <c r="B108" s="2" t="str">
        <f>IF($G108="","",IF(AND(LEFT($Q108,8)="Non-aero",ISERROR(MATCH($N108,Lge_NonAero!$B:$B,0))),1,0))</f>
        <v/>
      </c>
      <c r="C108" s="5" t="str">
        <f>IF($G108="","",IF(AND(LEFT($O108,3)="Wom",ISERROR(MATCH($N108,Lge_Women!$B:$B,0))),1,0))</f>
        <v/>
      </c>
      <c r="D108" s="2" t="str">
        <f>IF($G108="","",IF(AND(OR($O108="Vet",$O108="Woman Vet"),ISERROR(MATCH($N108,Lge_Vets!$B:$B,0))),1,0))</f>
        <v/>
      </c>
      <c r="E108" s="2" t="str">
        <f>IF($G108="","",IF(AND(OR($O108="Junior",$O108="Woman Junior",$O108="Youth",$O108="Woman Youth"),ISERROR(MATCH($N108,Lge_Junior!$B:$B,0))),1,0))</f>
        <v/>
      </c>
      <c r="F108" s="2" t="str">
        <f>IF($G108="","",IF(AND(LEFT($O108,3)="You",ISERROR(MATCH($N108,Lge_Youth!$B:$B,0))),1,0))</f>
        <v/>
      </c>
      <c r="G108" s="3"/>
      <c r="H108" s="3"/>
      <c r="I108" s="3"/>
      <c r="J108" s="3"/>
      <c r="K108" s="6"/>
      <c r="L108" s="4"/>
      <c r="M108" s="4"/>
      <c r="N108" s="8"/>
      <c r="O108" s="8"/>
      <c r="P108" s="9"/>
      <c r="Q108" s="8"/>
      <c r="R108" s="8"/>
      <c r="S108" s="9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10"/>
    </row>
    <row r="109" spans="1:39" x14ac:dyDescent="0.2">
      <c r="A109" s="2" t="str">
        <f>IF($G109="","",IF(ISERROR(MATCH($N109,Lge_Scratch!$B:$B,0)),1,0))</f>
        <v/>
      </c>
      <c r="B109" s="2" t="str">
        <f>IF($G109="","",IF(AND(LEFT($Q109,8)="Non-aero",ISERROR(MATCH($N109,Lge_NonAero!$B:$B,0))),1,0))</f>
        <v/>
      </c>
      <c r="C109" s="5" t="str">
        <f>IF($G109="","",IF(AND(LEFT($O109,3)="Wom",ISERROR(MATCH($N109,Lge_Women!$B:$B,0))),1,0))</f>
        <v/>
      </c>
      <c r="D109" s="2" t="str">
        <f>IF($G109="","",IF(AND(OR($O109="Vet",$O109="Woman Vet"),ISERROR(MATCH($N109,Lge_Vets!$B:$B,0))),1,0))</f>
        <v/>
      </c>
      <c r="E109" s="2" t="str">
        <f>IF($G109="","",IF(AND(OR($O109="Junior",$O109="Woman Junior",$O109="Youth",$O109="Woman Youth"),ISERROR(MATCH($N109,Lge_Junior!$B:$B,0))),1,0))</f>
        <v/>
      </c>
      <c r="F109" s="2" t="str">
        <f>IF($G109="","",IF(AND(LEFT($O109,3)="You",ISERROR(MATCH($N109,Lge_Youth!$B:$B,0))),1,0))</f>
        <v/>
      </c>
      <c r="G109" s="3"/>
      <c r="H109" s="3"/>
      <c r="I109" s="3"/>
      <c r="J109" s="3"/>
      <c r="K109" s="6"/>
      <c r="L109" s="4"/>
      <c r="M109" s="4"/>
      <c r="N109" s="8"/>
      <c r="O109" s="8"/>
      <c r="P109" s="9"/>
      <c r="Q109" s="8"/>
      <c r="R109" s="8"/>
      <c r="S109" s="9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10"/>
    </row>
    <row r="110" spans="1:39" x14ac:dyDescent="0.2">
      <c r="A110" s="2" t="str">
        <f>IF($G110="","",IF(ISERROR(MATCH($N110,Lge_Scratch!$B:$B,0)),1,0))</f>
        <v/>
      </c>
      <c r="B110" s="2" t="str">
        <f>IF($G110="","",IF(AND(LEFT($Q110,8)="Non-aero",ISERROR(MATCH($N110,Lge_NonAero!$B:$B,0))),1,0))</f>
        <v/>
      </c>
      <c r="C110" s="5" t="str">
        <f>IF($G110="","",IF(AND(LEFT($O110,3)="Wom",ISERROR(MATCH($N110,Lge_Women!$B:$B,0))),1,0))</f>
        <v/>
      </c>
      <c r="D110" s="2" t="str">
        <f>IF($G110="","",IF(AND(OR($O110="Vet",$O110="Woman Vet"),ISERROR(MATCH($N110,Lge_Vets!$B:$B,0))),1,0))</f>
        <v/>
      </c>
      <c r="E110" s="2" t="str">
        <f>IF($G110="","",IF(AND(OR($O110="Junior",$O110="Woman Junior",$O110="Youth",$O110="Woman Youth"),ISERROR(MATCH($N110,Lge_Junior!$B:$B,0))),1,0))</f>
        <v/>
      </c>
      <c r="F110" s="2" t="str">
        <f>IF($G110="","",IF(AND(LEFT($O110,3)="You",ISERROR(MATCH($N110,Lge_Youth!$B:$B,0))),1,0))</f>
        <v/>
      </c>
      <c r="G110" s="3"/>
      <c r="H110" s="3"/>
      <c r="I110" s="3"/>
      <c r="J110" s="3"/>
      <c r="K110" s="6"/>
      <c r="L110" s="4"/>
      <c r="M110" s="4"/>
      <c r="N110" s="8"/>
      <c r="O110" s="8"/>
      <c r="P110" s="9"/>
      <c r="Q110" s="8"/>
      <c r="R110" s="8"/>
      <c r="S110" s="9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10"/>
    </row>
    <row r="111" spans="1:39" x14ac:dyDescent="0.2">
      <c r="A111" s="2" t="str">
        <f>IF($G111="","",IF(ISERROR(MATCH($N111,Lge_Scratch!$B:$B,0)),1,0))</f>
        <v/>
      </c>
      <c r="B111" s="2" t="str">
        <f>IF($G111="","",IF(AND(LEFT($Q111,8)="Non-aero",ISERROR(MATCH($N111,Lge_NonAero!$B:$B,0))),1,0))</f>
        <v/>
      </c>
      <c r="C111" s="5" t="str">
        <f>IF($G111="","",IF(AND(LEFT($O111,3)="Wom",ISERROR(MATCH($N111,Lge_Women!$B:$B,0))),1,0))</f>
        <v/>
      </c>
      <c r="D111" s="2" t="str">
        <f>IF($G111="","",IF(AND(OR($O111="Vet",$O111="Woman Vet"),ISERROR(MATCH($N111,Lge_Vets!$B:$B,0))),1,0))</f>
        <v/>
      </c>
      <c r="E111" s="2" t="str">
        <f>IF($G111="","",IF(AND(OR($O111="Junior",$O111="Woman Junior",$O111="Youth",$O111="Woman Youth"),ISERROR(MATCH($N111,Lge_Junior!$B:$B,0))),1,0))</f>
        <v/>
      </c>
      <c r="F111" s="2" t="str">
        <f>IF($G111="","",IF(AND(LEFT($O111,3)="You",ISERROR(MATCH($N111,Lge_Youth!$B:$B,0))),1,0))</f>
        <v/>
      </c>
      <c r="G111" s="3"/>
      <c r="H111" s="3"/>
      <c r="I111" s="3"/>
      <c r="J111" s="3"/>
      <c r="K111" s="6"/>
      <c r="L111" s="4"/>
      <c r="M111" s="4"/>
      <c r="N111" s="8"/>
      <c r="O111" s="8"/>
      <c r="P111" s="9"/>
      <c r="Q111" s="8"/>
      <c r="R111" s="8"/>
      <c r="S111" s="9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10"/>
    </row>
    <row r="112" spans="1:39" x14ac:dyDescent="0.2">
      <c r="A112" s="2" t="str">
        <f>IF($G112="","",IF(ISERROR(MATCH($N112,Lge_Scratch!$B:$B,0)),1,0))</f>
        <v/>
      </c>
      <c r="B112" s="2" t="str">
        <f>IF($G112="","",IF(AND(LEFT($Q112,8)="Non-aero",ISERROR(MATCH($N112,Lge_NonAero!$B:$B,0))),1,0))</f>
        <v/>
      </c>
      <c r="C112" s="5" t="str">
        <f>IF($G112="","",IF(AND(LEFT($O112,3)="Wom",ISERROR(MATCH($N112,Lge_Women!$B:$B,0))),1,0))</f>
        <v/>
      </c>
      <c r="D112" s="2" t="str">
        <f>IF($G112="","",IF(AND(OR($O112="Vet",$O112="Woman Vet"),ISERROR(MATCH($N112,Lge_Vets!$B:$B,0))),1,0))</f>
        <v/>
      </c>
      <c r="E112" s="2" t="str">
        <f>IF($G112="","",IF(AND(OR($O112="Junior",$O112="Woman Junior",$O112="Youth",$O112="Woman Youth"),ISERROR(MATCH($N112,Lge_Junior!$B:$B,0))),1,0))</f>
        <v/>
      </c>
      <c r="F112" s="2" t="str">
        <f>IF($G112="","",IF(AND(LEFT($O112,3)="You",ISERROR(MATCH($N112,Lge_Youth!$B:$B,0))),1,0))</f>
        <v/>
      </c>
      <c r="G112" s="3"/>
      <c r="H112" s="3"/>
      <c r="I112" s="3"/>
      <c r="J112" s="3"/>
      <c r="K112" s="6"/>
      <c r="L112" s="4"/>
      <c r="M112" s="4"/>
      <c r="N112" s="8"/>
      <c r="O112" s="8"/>
      <c r="P112" s="9"/>
      <c r="Q112" s="8"/>
      <c r="R112" s="8"/>
      <c r="S112" s="9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10"/>
    </row>
    <row r="113" spans="1:39" x14ac:dyDescent="0.2">
      <c r="A113" s="2" t="str">
        <f>IF($G113="","",IF(ISERROR(MATCH($N113,Lge_Scratch!$B:$B,0)),1,0))</f>
        <v/>
      </c>
      <c r="B113" s="2" t="str">
        <f>IF($G113="","",IF(AND(LEFT($Q113,8)="Non-aero",ISERROR(MATCH($N113,Lge_NonAero!$B:$B,0))),1,0))</f>
        <v/>
      </c>
      <c r="C113" s="5" t="str">
        <f>IF($G113="","",IF(AND(LEFT($O113,3)="Wom",ISERROR(MATCH($N113,Lge_Women!$B:$B,0))),1,0))</f>
        <v/>
      </c>
      <c r="D113" s="2" t="str">
        <f>IF($G113="","",IF(AND(OR($O113="Vet",$O113="Woman Vet"),ISERROR(MATCH($N113,Lge_Vets!$B:$B,0))),1,0))</f>
        <v/>
      </c>
      <c r="E113" s="2" t="str">
        <f>IF($G113="","",IF(AND(OR($O113="Junior",$O113="Woman Junior",$O113="Youth",$O113="Woman Youth"),ISERROR(MATCH($N113,Lge_Junior!$B:$B,0))),1,0))</f>
        <v/>
      </c>
      <c r="F113" s="2" t="str">
        <f>IF($G113="","",IF(AND(LEFT($O113,3)="You",ISERROR(MATCH($N113,Lge_Youth!$B:$B,0))),1,0))</f>
        <v/>
      </c>
      <c r="G113" s="3"/>
      <c r="H113" s="3"/>
      <c r="I113" s="3"/>
      <c r="J113" s="3"/>
      <c r="K113" s="6"/>
      <c r="L113" s="4"/>
      <c r="M113" s="4"/>
      <c r="N113" s="8"/>
      <c r="O113" s="8"/>
      <c r="P113" s="9"/>
      <c r="Q113" s="8"/>
      <c r="R113" s="8"/>
      <c r="S113" s="9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10"/>
    </row>
    <row r="114" spans="1:39" x14ac:dyDescent="0.2">
      <c r="A114" s="2" t="str">
        <f>IF($G114="","",IF(ISERROR(MATCH($N114,Lge_Scratch!$B:$B,0)),1,0))</f>
        <v/>
      </c>
      <c r="B114" s="2" t="str">
        <f>IF($G114="","",IF(AND(LEFT($Q114,8)="Non-aero",ISERROR(MATCH($N114,Lge_NonAero!$B:$B,0))),1,0))</f>
        <v/>
      </c>
      <c r="C114" s="5" t="str">
        <f>IF($G114="","",IF(AND(LEFT($O114,3)="Wom",ISERROR(MATCH($N114,Lge_Women!$B:$B,0))),1,0))</f>
        <v/>
      </c>
      <c r="D114" s="2" t="str">
        <f>IF($G114="","",IF(AND(OR($O114="Vet",$O114="Woman Vet"),ISERROR(MATCH($N114,Lge_Vets!$B:$B,0))),1,0))</f>
        <v/>
      </c>
      <c r="E114" s="2" t="str">
        <f>IF($G114="","",IF(AND(OR($O114="Junior",$O114="Woman Junior",$O114="Youth",$O114="Woman Youth"),ISERROR(MATCH($N114,Lge_Junior!$B:$B,0))),1,0))</f>
        <v/>
      </c>
      <c r="F114" s="2" t="str">
        <f>IF($G114="","",IF(AND(LEFT($O114,3)="You",ISERROR(MATCH($N114,Lge_Youth!$B:$B,0))),1,0))</f>
        <v/>
      </c>
      <c r="G114" s="3"/>
      <c r="H114" s="3"/>
      <c r="I114" s="3"/>
      <c r="J114" s="3"/>
      <c r="K114" s="6"/>
      <c r="L114" s="4"/>
      <c r="M114" s="4"/>
      <c r="N114" s="8"/>
      <c r="O114" s="8"/>
      <c r="P114" s="9"/>
      <c r="Q114" s="8"/>
      <c r="R114" s="8"/>
      <c r="S114" s="9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10"/>
    </row>
    <row r="115" spans="1:39" x14ac:dyDescent="0.2">
      <c r="A115" s="2" t="str">
        <f>IF($G115="","",IF(ISERROR(MATCH($N115,Lge_Scratch!$B:$B,0)),1,0))</f>
        <v/>
      </c>
      <c r="B115" s="2" t="str">
        <f>IF($G115="","",IF(AND(LEFT($Q115,8)="Non-aero",ISERROR(MATCH($N115,Lge_NonAero!$B:$B,0))),1,0))</f>
        <v/>
      </c>
      <c r="C115" s="5" t="str">
        <f>IF($G115="","",IF(AND(LEFT($O115,3)="Wom",ISERROR(MATCH($N115,Lge_Women!$B:$B,0))),1,0))</f>
        <v/>
      </c>
      <c r="D115" s="2" t="str">
        <f>IF($G115="","",IF(AND(OR($O115="Vet",$O115="Woman Vet"),ISERROR(MATCH($N115,Lge_Vets!$B:$B,0))),1,0))</f>
        <v/>
      </c>
      <c r="E115" s="2" t="str">
        <f>IF($G115="","",IF(AND(OR($O115="Junior",$O115="Woman Junior",$O115="Youth",$O115="Woman Youth"),ISERROR(MATCH($N115,Lge_Junior!$B:$B,0))),1,0))</f>
        <v/>
      </c>
      <c r="F115" s="2" t="str">
        <f>IF($G115="","",IF(AND(LEFT($O115,3)="You",ISERROR(MATCH($N115,Lge_Youth!$B:$B,0))),1,0))</f>
        <v/>
      </c>
      <c r="G115" s="3"/>
      <c r="H115" s="3"/>
      <c r="I115" s="3"/>
      <c r="J115" s="3"/>
      <c r="K115" s="6"/>
      <c r="L115" s="4"/>
      <c r="M115" s="4"/>
      <c r="N115" s="8"/>
      <c r="O115" s="8"/>
      <c r="P115" s="9"/>
      <c r="Q115" s="8"/>
      <c r="R115" s="8"/>
      <c r="S115" s="9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10"/>
    </row>
    <row r="116" spans="1:39" x14ac:dyDescent="0.2">
      <c r="A116" s="2" t="str">
        <f>IF($G116="","",IF(ISERROR(MATCH($N116,Lge_Scratch!$B:$B,0)),1,0))</f>
        <v/>
      </c>
      <c r="B116" s="2" t="str">
        <f>IF($G116="","",IF(AND(LEFT($Q116,8)="Non-aero",ISERROR(MATCH($N116,Lge_NonAero!$B:$B,0))),1,0))</f>
        <v/>
      </c>
      <c r="C116" s="5" t="str">
        <f>IF($G116="","",IF(AND(LEFT($O116,3)="Wom",ISERROR(MATCH($N116,Lge_Women!$B:$B,0))),1,0))</f>
        <v/>
      </c>
      <c r="D116" s="2" t="str">
        <f>IF($G116="","",IF(AND(OR($O116="Vet",$O116="Woman Vet"),ISERROR(MATCH($N116,Lge_Vets!$B:$B,0))),1,0))</f>
        <v/>
      </c>
      <c r="E116" s="2" t="str">
        <f>IF($G116="","",IF(AND(OR($O116="Junior",$O116="Woman Junior",$O116="Youth",$O116="Woman Youth"),ISERROR(MATCH($N116,Lge_Junior!$B:$B,0))),1,0))</f>
        <v/>
      </c>
      <c r="F116" s="2" t="str">
        <f>IF($G116="","",IF(AND(LEFT($O116,3)="You",ISERROR(MATCH($N116,Lge_Youth!$B:$B,0))),1,0))</f>
        <v/>
      </c>
      <c r="G116" s="3"/>
      <c r="H116" s="3"/>
      <c r="I116" s="3"/>
      <c r="J116" s="3"/>
      <c r="K116" s="6"/>
      <c r="L116" s="4"/>
      <c r="M116" s="4"/>
      <c r="N116" s="8"/>
      <c r="O116" s="8"/>
      <c r="P116" s="9"/>
      <c r="Q116" s="8"/>
      <c r="R116" s="8"/>
      <c r="S116" s="9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10"/>
    </row>
    <row r="117" spans="1:39" x14ac:dyDescent="0.2">
      <c r="A117" s="2" t="str">
        <f>IF($G117="","",IF(ISERROR(MATCH($N117,Lge_Scratch!$B:$B,0)),1,0))</f>
        <v/>
      </c>
      <c r="B117" s="2" t="str">
        <f>IF($G117="","",IF(AND(LEFT($Q117,8)="Non-aero",ISERROR(MATCH($N117,Lge_NonAero!$B:$B,0))),1,0))</f>
        <v/>
      </c>
      <c r="C117" s="5" t="str">
        <f>IF($G117="","",IF(AND(LEFT($O117,3)="Wom",ISERROR(MATCH($N117,Lge_Women!$B:$B,0))),1,0))</f>
        <v/>
      </c>
      <c r="D117" s="2" t="str">
        <f>IF($G117="","",IF(AND(OR($O117="Vet",$O117="Woman Vet"),ISERROR(MATCH($N117,Lge_Vets!$B:$B,0))),1,0))</f>
        <v/>
      </c>
      <c r="E117" s="2" t="str">
        <f>IF($G117="","",IF(AND(OR($O117="Junior",$O117="Woman Junior",$O117="Youth",$O117="Woman Youth"),ISERROR(MATCH($N117,Lge_Junior!$B:$B,0))),1,0))</f>
        <v/>
      </c>
      <c r="F117" s="2" t="str">
        <f>IF($G117="","",IF(AND(LEFT($O117,3)="You",ISERROR(MATCH($N117,Lge_Youth!$B:$B,0))),1,0))</f>
        <v/>
      </c>
      <c r="G117" s="3"/>
      <c r="H117" s="3"/>
      <c r="I117" s="3"/>
      <c r="J117" s="3"/>
      <c r="K117" s="6"/>
      <c r="L117" s="4"/>
      <c r="M117" s="4"/>
      <c r="N117" s="8"/>
      <c r="O117" s="8"/>
      <c r="P117" s="9"/>
      <c r="Q117" s="8"/>
      <c r="R117" s="8"/>
      <c r="S117" s="9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10"/>
    </row>
    <row r="118" spans="1:39" x14ac:dyDescent="0.2">
      <c r="A118" s="2" t="str">
        <f>IF($G118="","",IF(ISERROR(MATCH($N118,Lge_Scratch!$B:$B,0)),1,0))</f>
        <v/>
      </c>
      <c r="B118" s="2" t="str">
        <f>IF($G118="","",IF(AND(LEFT($Q118,8)="Non-aero",ISERROR(MATCH($N118,Lge_NonAero!$B:$B,0))),1,0))</f>
        <v/>
      </c>
      <c r="C118" s="5" t="str">
        <f>IF($G118="","",IF(AND(LEFT($O118,3)="Wom",ISERROR(MATCH($N118,Lge_Women!$B:$B,0))),1,0))</f>
        <v/>
      </c>
      <c r="D118" s="2" t="str">
        <f>IF($G118="","",IF(AND(OR($O118="Vet",$O118="Woman Vet"),ISERROR(MATCH($N118,Lge_Vets!$B:$B,0))),1,0))</f>
        <v/>
      </c>
      <c r="E118" s="2" t="str">
        <f>IF($G118="","",IF(AND(OR($O118="Junior",$O118="Woman Junior",$O118="Youth",$O118="Woman Youth"),ISERROR(MATCH($N118,Lge_Junior!$B:$B,0))),1,0))</f>
        <v/>
      </c>
      <c r="F118" s="2" t="str">
        <f>IF($G118="","",IF(AND(LEFT($O118,3)="You",ISERROR(MATCH($N118,Lge_Youth!$B:$B,0))),1,0))</f>
        <v/>
      </c>
      <c r="G118" s="3"/>
      <c r="H118" s="3"/>
      <c r="I118" s="3"/>
      <c r="J118" s="3"/>
      <c r="K118" s="6"/>
      <c r="L118" s="4"/>
      <c r="M118" s="4"/>
      <c r="N118" s="8"/>
      <c r="O118" s="8"/>
      <c r="P118" s="9"/>
      <c r="Q118" s="8"/>
      <c r="R118" s="8"/>
      <c r="S118" s="9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10"/>
    </row>
    <row r="119" spans="1:39" x14ac:dyDescent="0.2">
      <c r="A119" s="2" t="str">
        <f>IF($G119="","",IF(ISERROR(MATCH($N119,Lge_Scratch!$B:$B,0)),1,0))</f>
        <v/>
      </c>
      <c r="B119" s="2" t="str">
        <f>IF($G119="","",IF(AND(LEFT($Q119,8)="Non-aero",ISERROR(MATCH($N119,Lge_NonAero!$B:$B,0))),1,0))</f>
        <v/>
      </c>
      <c r="C119" s="5" t="str">
        <f>IF($G119="","",IF(AND(LEFT($O119,3)="Wom",ISERROR(MATCH($N119,Lge_Women!$B:$B,0))),1,0))</f>
        <v/>
      </c>
      <c r="D119" s="2" t="str">
        <f>IF($G119="","",IF(AND(OR($O119="Vet",$O119="Woman Vet"),ISERROR(MATCH($N119,Lge_Vets!$B:$B,0))),1,0))</f>
        <v/>
      </c>
      <c r="E119" s="2" t="str">
        <f>IF($G119="","",IF(AND(OR($O119="Junior",$O119="Woman Junior",$O119="Youth",$O119="Woman Youth"),ISERROR(MATCH($N119,Lge_Junior!$B:$B,0))),1,0))</f>
        <v/>
      </c>
      <c r="F119" s="2" t="str">
        <f>IF($G119="","",IF(AND(LEFT($O119,3)="You",ISERROR(MATCH($N119,Lge_Youth!$B:$B,0))),1,0))</f>
        <v/>
      </c>
      <c r="G119" s="3"/>
      <c r="H119" s="3"/>
      <c r="I119" s="3"/>
      <c r="J119" s="3"/>
      <c r="K119" s="6"/>
      <c r="L119" s="4"/>
      <c r="M119" s="4"/>
      <c r="N119" s="8"/>
      <c r="O119" s="8"/>
      <c r="P119" s="9"/>
      <c r="Q119" s="8"/>
      <c r="R119" s="8"/>
      <c r="S119" s="9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10"/>
    </row>
    <row r="120" spans="1:39" x14ac:dyDescent="0.2">
      <c r="A120" s="2" t="str">
        <f>IF($G120="","",IF(ISERROR(MATCH($N120,Lge_Scratch!$B:$B,0)),1,0))</f>
        <v/>
      </c>
      <c r="B120" s="2" t="str">
        <f>IF($G120="","",IF(AND(LEFT($Q120,8)="Non-aero",ISERROR(MATCH($N120,Lge_NonAero!$B:$B,0))),1,0))</f>
        <v/>
      </c>
      <c r="C120" s="5" t="str">
        <f>IF($G120="","",IF(AND(LEFT($O120,3)="Wom",ISERROR(MATCH($N120,Lge_Women!$B:$B,0))),1,0))</f>
        <v/>
      </c>
      <c r="D120" s="2" t="str">
        <f>IF($G120="","",IF(AND(OR($O120="Vet",$O120="Woman Vet"),ISERROR(MATCH($N120,Lge_Vets!$B:$B,0))),1,0))</f>
        <v/>
      </c>
      <c r="E120" s="2" t="str">
        <f>IF($G120="","",IF(AND(OR($O120="Junior",$O120="Woman Junior",$O120="Youth",$O120="Woman Youth"),ISERROR(MATCH($N120,Lge_Junior!$B:$B,0))),1,0))</f>
        <v/>
      </c>
      <c r="F120" s="2" t="str">
        <f>IF($G120="","",IF(AND(LEFT($O120,3)="You",ISERROR(MATCH($N120,Lge_Youth!$B:$B,0))),1,0))</f>
        <v/>
      </c>
      <c r="G120" s="3"/>
      <c r="H120" s="3"/>
      <c r="I120" s="3"/>
      <c r="J120" s="3"/>
      <c r="K120" s="6"/>
      <c r="L120" s="4"/>
      <c r="M120" s="4"/>
      <c r="N120" s="8"/>
      <c r="O120" s="8"/>
      <c r="P120" s="9"/>
      <c r="Q120" s="8"/>
      <c r="R120" s="8"/>
      <c r="S120" s="9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10"/>
    </row>
    <row r="121" spans="1:39" x14ac:dyDescent="0.2">
      <c r="A121" s="2" t="str">
        <f>IF($G121="","",IF(ISERROR(MATCH($N121,Lge_Scratch!$B:$B,0)),1,0))</f>
        <v/>
      </c>
      <c r="B121" s="2" t="str">
        <f>IF($G121="","",IF(AND(LEFT($Q121,8)="Non-aero",ISERROR(MATCH($N121,Lge_NonAero!$B:$B,0))),1,0))</f>
        <v/>
      </c>
      <c r="C121" s="5" t="str">
        <f>IF($G121="","",IF(AND(LEFT($O121,3)="Wom",ISERROR(MATCH($N121,Lge_Women!$B:$B,0))),1,0))</f>
        <v/>
      </c>
      <c r="D121" s="2" t="str">
        <f>IF($G121="","",IF(AND(OR($O121="Vet",$O121="Woman Vet"),ISERROR(MATCH($N121,Lge_Vets!$B:$B,0))),1,0))</f>
        <v/>
      </c>
      <c r="E121" s="2" t="str">
        <f>IF($G121="","",IF(AND(OR($O121="Junior",$O121="Woman Junior",$O121="Youth",$O121="Woman Youth"),ISERROR(MATCH($N121,Lge_Junior!$B:$B,0))),1,0))</f>
        <v/>
      </c>
      <c r="F121" s="2" t="str">
        <f>IF($G121="","",IF(AND(LEFT($O121,3)="You",ISERROR(MATCH($N121,Lge_Youth!$B:$B,0))),1,0))</f>
        <v/>
      </c>
      <c r="G121" s="3"/>
      <c r="H121" s="3"/>
      <c r="I121" s="3"/>
      <c r="J121" s="3"/>
      <c r="K121" s="6"/>
      <c r="L121" s="4"/>
      <c r="M121" s="4"/>
      <c r="N121" s="8"/>
      <c r="O121" s="8"/>
      <c r="P121" s="9"/>
      <c r="Q121" s="8"/>
      <c r="R121" s="8"/>
      <c r="S121" s="9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10"/>
    </row>
    <row r="122" spans="1:39" x14ac:dyDescent="0.2">
      <c r="A122" s="2" t="str">
        <f>IF($G122="","",IF(ISERROR(MATCH($N122,Lge_Scratch!$B:$B,0)),1,0))</f>
        <v/>
      </c>
      <c r="B122" s="2" t="str">
        <f>IF($G122="","",IF(AND(LEFT($Q122,8)="Non-aero",ISERROR(MATCH($N122,Lge_NonAero!$B:$B,0))),1,0))</f>
        <v/>
      </c>
      <c r="C122" s="5" t="str">
        <f>IF($G122="","",IF(AND(LEFT($O122,3)="Wom",ISERROR(MATCH($N122,Lge_Women!$B:$B,0))),1,0))</f>
        <v/>
      </c>
      <c r="D122" s="2" t="str">
        <f>IF($G122="","",IF(AND(OR($O122="Vet",$O122="Woman Vet"),ISERROR(MATCH($N122,Lge_Vets!$B:$B,0))),1,0))</f>
        <v/>
      </c>
      <c r="E122" s="2" t="str">
        <f>IF($G122="","",IF(AND(OR($O122="Junior",$O122="Woman Junior",$O122="Youth",$O122="Woman Youth"),ISERROR(MATCH($N122,Lge_Junior!$B:$B,0))),1,0))</f>
        <v/>
      </c>
      <c r="F122" s="2" t="str">
        <f>IF($G122="","",IF(AND(LEFT($O122,3)="You",ISERROR(MATCH($N122,Lge_Youth!$B:$B,0))),1,0))</f>
        <v/>
      </c>
      <c r="G122" s="3"/>
      <c r="H122" s="3"/>
      <c r="I122" s="3"/>
      <c r="J122" s="3"/>
      <c r="K122" s="6"/>
      <c r="L122" s="4"/>
      <c r="M122" s="4"/>
      <c r="N122" s="8"/>
      <c r="O122" s="8"/>
      <c r="P122" s="9"/>
      <c r="Q122" s="8"/>
      <c r="R122" s="8"/>
      <c r="S122" s="9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10"/>
    </row>
    <row r="123" spans="1:39" x14ac:dyDescent="0.2">
      <c r="A123" s="2" t="str">
        <f>IF($G123="","",IF(ISERROR(MATCH($N123,Lge_Scratch!$B:$B,0)),1,0))</f>
        <v/>
      </c>
      <c r="B123" s="2" t="str">
        <f>IF($G123="","",IF(AND(LEFT($Q123,8)="Non-aero",ISERROR(MATCH($N123,Lge_NonAero!$B:$B,0))),1,0))</f>
        <v/>
      </c>
      <c r="C123" s="5" t="str">
        <f>IF($G123="","",IF(AND(LEFT($O123,3)="Wom",ISERROR(MATCH($N123,Lge_Women!$B:$B,0))),1,0))</f>
        <v/>
      </c>
      <c r="D123" s="2" t="str">
        <f>IF($G123="","",IF(AND(OR($O123="Vet",$O123="Woman Vet"),ISERROR(MATCH($N123,Lge_Vets!$B:$B,0))),1,0))</f>
        <v/>
      </c>
      <c r="E123" s="2" t="str">
        <f>IF($G123="","",IF(AND(OR($O123="Junior",$O123="Woman Junior",$O123="Youth",$O123="Woman Youth"),ISERROR(MATCH($N123,Lge_Junior!$B:$B,0))),1,0))</f>
        <v/>
      </c>
      <c r="F123" s="2" t="str">
        <f>IF($G123="","",IF(AND(LEFT($O123,3)="You",ISERROR(MATCH($N123,Lge_Youth!$B:$B,0))),1,0))</f>
        <v/>
      </c>
      <c r="G123" s="3"/>
      <c r="H123" s="3"/>
      <c r="I123" s="3"/>
      <c r="J123" s="3"/>
      <c r="K123" s="6"/>
      <c r="L123" s="4"/>
      <c r="M123" s="4"/>
      <c r="N123" s="8"/>
      <c r="O123" s="8"/>
      <c r="P123" s="9"/>
      <c r="Q123" s="8"/>
      <c r="R123" s="8"/>
      <c r="S123" s="9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10"/>
    </row>
    <row r="124" spans="1:39" x14ac:dyDescent="0.2">
      <c r="A124" s="2" t="str">
        <f>IF($G124="","",IF(ISERROR(MATCH($N124,Lge_Scratch!$B:$B,0)),1,0))</f>
        <v/>
      </c>
      <c r="B124" s="2" t="str">
        <f>IF($G124="","",IF(AND(LEFT($Q124,8)="Non-aero",ISERROR(MATCH($N124,Lge_NonAero!$B:$B,0))),1,0))</f>
        <v/>
      </c>
      <c r="C124" s="5" t="str">
        <f>IF($G124="","",IF(AND(LEFT($O124,3)="Wom",ISERROR(MATCH($N124,Lge_Women!$B:$B,0))),1,0))</f>
        <v/>
      </c>
      <c r="D124" s="2" t="str">
        <f>IF($G124="","",IF(AND(OR($O124="Vet",$O124="Woman Vet"),ISERROR(MATCH($N124,Lge_Vets!$B:$B,0))),1,0))</f>
        <v/>
      </c>
      <c r="E124" s="2" t="str">
        <f>IF($G124="","",IF(AND(OR($O124="Junior",$O124="Woman Junior",$O124="Youth",$O124="Woman Youth"),ISERROR(MATCH($N124,Lge_Junior!$B:$B,0))),1,0))</f>
        <v/>
      </c>
      <c r="F124" s="2" t="str">
        <f>IF($G124="","",IF(AND(LEFT($O124,3)="You",ISERROR(MATCH($N124,Lge_Youth!$B:$B,0))),1,0))</f>
        <v/>
      </c>
      <c r="G124" s="3"/>
      <c r="H124" s="3"/>
      <c r="I124" s="3"/>
      <c r="J124" s="3"/>
      <c r="K124" s="6"/>
      <c r="L124" s="4"/>
      <c r="M124" s="4"/>
      <c r="N124" s="8"/>
      <c r="O124" s="8"/>
      <c r="P124" s="9"/>
      <c r="Q124" s="8"/>
      <c r="R124" s="8"/>
      <c r="S124" s="9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10"/>
    </row>
    <row r="125" spans="1:39" x14ac:dyDescent="0.2">
      <c r="A125" s="2" t="str">
        <f>IF($G125="","",IF(ISERROR(MATCH($N125,Lge_Scratch!$B:$B,0)),1,0))</f>
        <v/>
      </c>
      <c r="B125" s="2" t="str">
        <f>IF($G125="","",IF(AND(LEFT($Q125,8)="Non-aero",ISERROR(MATCH($N125,Lge_NonAero!$B:$B,0))),1,0))</f>
        <v/>
      </c>
      <c r="C125" s="5" t="str">
        <f>IF($G125="","",IF(AND(LEFT($O125,3)="Wom",ISERROR(MATCH($N125,Lge_Women!$B:$B,0))),1,0))</f>
        <v/>
      </c>
      <c r="D125" s="2" t="str">
        <f>IF($G125="","",IF(AND(OR($O125="Vet",$O125="Woman Vet"),ISERROR(MATCH($N125,Lge_Vets!$B:$B,0))),1,0))</f>
        <v/>
      </c>
      <c r="E125" s="2" t="str">
        <f>IF($G125="","",IF(AND(OR($O125="Junior",$O125="Woman Junior",$O125="Youth",$O125="Woman Youth"),ISERROR(MATCH($N125,Lge_Junior!$B:$B,0))),1,0))</f>
        <v/>
      </c>
      <c r="F125" s="2" t="str">
        <f>IF($G125="","",IF(AND(LEFT($O125,3)="You",ISERROR(MATCH($N125,Lge_Youth!$B:$B,0))),1,0))</f>
        <v/>
      </c>
      <c r="G125" s="3"/>
      <c r="H125" s="3"/>
      <c r="I125" s="3"/>
      <c r="J125" s="3"/>
      <c r="K125" s="6"/>
      <c r="L125" s="4"/>
      <c r="M125" s="4"/>
      <c r="N125" s="8"/>
      <c r="O125" s="8"/>
      <c r="P125" s="9"/>
      <c r="Q125" s="8"/>
      <c r="R125" s="8"/>
      <c r="S125" s="9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10"/>
    </row>
    <row r="126" spans="1:39" x14ac:dyDescent="0.2">
      <c r="A126" s="2" t="str">
        <f>IF($G126="","",IF(ISERROR(MATCH($N126,Lge_Scratch!$B:$B,0)),1,0))</f>
        <v/>
      </c>
      <c r="B126" s="2" t="str">
        <f>IF($G126="","",IF(AND(LEFT($Q126,8)="Non-aero",ISERROR(MATCH($N126,Lge_NonAero!$B:$B,0))),1,0))</f>
        <v/>
      </c>
      <c r="C126" s="5" t="str">
        <f>IF($G126="","",IF(AND(LEFT($O126,3)="Wom",ISERROR(MATCH($N126,Lge_Women!$B:$B,0))),1,0))</f>
        <v/>
      </c>
      <c r="D126" s="2" t="str">
        <f>IF($G126="","",IF(AND(OR($O126="Vet",$O126="Woman Vet"),ISERROR(MATCH($N126,Lge_Vets!$B:$B,0))),1,0))</f>
        <v/>
      </c>
      <c r="E126" s="2" t="str">
        <f>IF($G126="","",IF(AND(OR($O126="Junior",$O126="Woman Junior",$O126="Youth",$O126="Woman Youth"),ISERROR(MATCH($N126,Lge_Junior!$B:$B,0))),1,0))</f>
        <v/>
      </c>
      <c r="F126" s="2" t="str">
        <f>IF($G126="","",IF(AND(LEFT($O126,3)="You",ISERROR(MATCH($N126,Lge_Youth!$B:$B,0))),1,0))</f>
        <v/>
      </c>
      <c r="G126" s="3"/>
      <c r="H126" s="3"/>
      <c r="I126" s="3"/>
      <c r="J126" s="3"/>
      <c r="K126" s="6"/>
      <c r="L126" s="4"/>
      <c r="M126" s="4"/>
      <c r="N126" s="8"/>
      <c r="O126" s="8"/>
      <c r="P126" s="9"/>
      <c r="Q126" s="8"/>
      <c r="R126" s="8"/>
      <c r="S126" s="9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10"/>
    </row>
    <row r="127" spans="1:39" x14ac:dyDescent="0.2">
      <c r="A127" s="2" t="str">
        <f>IF($G127="","",IF(ISERROR(MATCH($N127,Lge_Scratch!$B:$B,0)),1,0))</f>
        <v/>
      </c>
      <c r="B127" s="2" t="str">
        <f>IF($G127="","",IF(AND(LEFT($Q127,8)="Non-aero",ISERROR(MATCH($N127,Lge_NonAero!$B:$B,0))),1,0))</f>
        <v/>
      </c>
      <c r="C127" s="5" t="str">
        <f>IF($G127="","",IF(AND(LEFT($O127,3)="Wom",ISERROR(MATCH($N127,Lge_Women!$B:$B,0))),1,0))</f>
        <v/>
      </c>
      <c r="D127" s="2" t="str">
        <f>IF($G127="","",IF(AND(OR($O127="Vet",$O127="Woman Vet"),ISERROR(MATCH($N127,Lge_Vets!$B:$B,0))),1,0))</f>
        <v/>
      </c>
      <c r="E127" s="2" t="str">
        <f>IF($G127="","",IF(AND(OR($O127="Junior",$O127="Woman Junior",$O127="Youth",$O127="Woman Youth"),ISERROR(MATCH($N127,Lge_Junior!$B:$B,0))),1,0))</f>
        <v/>
      </c>
      <c r="F127" s="2" t="str">
        <f>IF($G127="","",IF(AND(LEFT($O127,3)="You",ISERROR(MATCH($N127,Lge_Youth!$B:$B,0))),1,0))</f>
        <v/>
      </c>
      <c r="G127" s="3"/>
      <c r="H127" s="3"/>
      <c r="I127" s="3"/>
      <c r="J127" s="3"/>
      <c r="K127" s="6"/>
      <c r="L127" s="4"/>
      <c r="M127" s="4"/>
      <c r="N127" s="8"/>
      <c r="O127" s="8"/>
      <c r="P127" s="9"/>
      <c r="Q127" s="8"/>
      <c r="R127" s="8"/>
      <c r="S127" s="9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10"/>
    </row>
    <row r="128" spans="1:39" x14ac:dyDescent="0.2">
      <c r="A128" s="2" t="str">
        <f>IF($G128="","",IF(ISERROR(MATCH($N128,Lge_Scratch!$B:$B,0)),1,0))</f>
        <v/>
      </c>
      <c r="B128" s="2" t="str">
        <f>IF($G128="","",IF(AND(LEFT($Q128,8)="Non-aero",ISERROR(MATCH($N128,Lge_NonAero!$B:$B,0))),1,0))</f>
        <v/>
      </c>
      <c r="C128" s="5" t="str">
        <f>IF($G128="","",IF(AND(LEFT($O128,3)="Wom",ISERROR(MATCH($N128,Lge_Women!$B:$B,0))),1,0))</f>
        <v/>
      </c>
      <c r="D128" s="2" t="str">
        <f>IF($G128="","",IF(AND(OR($O128="Vet",$O128="Woman Vet"),ISERROR(MATCH($N128,Lge_Vets!$B:$B,0))),1,0))</f>
        <v/>
      </c>
      <c r="E128" s="2" t="str">
        <f>IF($G128="","",IF(AND(OR($O128="Junior",$O128="Woman Junior",$O128="Youth",$O128="Woman Youth"),ISERROR(MATCH($N128,Lge_Junior!$B:$B,0))),1,0))</f>
        <v/>
      </c>
      <c r="F128" s="2" t="str">
        <f>IF($G128="","",IF(AND(LEFT($O128,3)="You",ISERROR(MATCH($N128,Lge_Youth!$B:$B,0))),1,0))</f>
        <v/>
      </c>
      <c r="G128" s="3"/>
      <c r="H128" s="3"/>
      <c r="I128" s="3"/>
      <c r="J128" s="3"/>
      <c r="K128" s="6"/>
      <c r="L128" s="4"/>
      <c r="M128" s="4"/>
      <c r="N128" s="8"/>
      <c r="O128" s="8"/>
      <c r="P128" s="9"/>
      <c r="Q128" s="8"/>
      <c r="R128" s="8"/>
      <c r="S128" s="9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10"/>
    </row>
    <row r="129" spans="1:39" x14ac:dyDescent="0.2">
      <c r="A129" s="2" t="str">
        <f>IF($G129="","",IF(ISERROR(MATCH($N129,Lge_Scratch!$B:$B,0)),1,0))</f>
        <v/>
      </c>
      <c r="B129" s="2" t="str">
        <f>IF($G129="","",IF(AND(LEFT($Q129,8)="Non-aero",ISERROR(MATCH($N129,Lge_NonAero!$B:$B,0))),1,0))</f>
        <v/>
      </c>
      <c r="C129" s="5" t="str">
        <f>IF($G129="","",IF(AND(LEFT($O129,3)="Wom",ISERROR(MATCH($N129,Lge_Women!$B:$B,0))),1,0))</f>
        <v/>
      </c>
      <c r="D129" s="2" t="str">
        <f>IF($G129="","",IF(AND(OR($O129="Vet",$O129="Woman Vet"),ISERROR(MATCH($N129,Lge_Vets!$B:$B,0))),1,0))</f>
        <v/>
      </c>
      <c r="E129" s="2" t="str">
        <f>IF($G129="","",IF(AND(OR($O129="Junior",$O129="Woman Junior",$O129="Youth",$O129="Woman Youth"),ISERROR(MATCH($N129,Lge_Junior!$B:$B,0))),1,0))</f>
        <v/>
      </c>
      <c r="F129" s="2" t="str">
        <f>IF($G129="","",IF(AND(LEFT($O129,3)="You",ISERROR(MATCH($N129,Lge_Youth!$B:$B,0))),1,0))</f>
        <v/>
      </c>
      <c r="G129" s="3"/>
      <c r="H129" s="3"/>
      <c r="I129" s="3"/>
      <c r="J129" s="3"/>
      <c r="K129" s="6"/>
      <c r="L129" s="4"/>
      <c r="M129" s="4"/>
      <c r="N129" s="8"/>
      <c r="O129" s="8"/>
      <c r="P129" s="9"/>
      <c r="Q129" s="8"/>
      <c r="R129" s="8"/>
      <c r="S129" s="9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10"/>
    </row>
    <row r="130" spans="1:39" x14ac:dyDescent="0.2">
      <c r="A130" s="2" t="str">
        <f>IF($G130="","",IF(ISERROR(MATCH($N130,Lge_Scratch!$B:$B,0)),1,0))</f>
        <v/>
      </c>
      <c r="B130" s="2" t="str">
        <f>IF($G130="","",IF(AND(LEFT($Q130,8)="Non-aero",ISERROR(MATCH($N130,Lge_NonAero!$B:$B,0))),1,0))</f>
        <v/>
      </c>
      <c r="C130" s="5" t="str">
        <f>IF($G130="","",IF(AND(LEFT($O130,3)="Wom",ISERROR(MATCH($N130,Lge_Women!$B:$B,0))),1,0))</f>
        <v/>
      </c>
      <c r="D130" s="2" t="str">
        <f>IF($G130="","",IF(AND(OR($O130="Vet",$O130="Woman Vet"),ISERROR(MATCH($N130,Lge_Vets!$B:$B,0))),1,0))</f>
        <v/>
      </c>
      <c r="E130" s="2" t="str">
        <f>IF($G130="","",IF(AND(OR($O130="Junior",$O130="Woman Junior",$O130="Youth",$O130="Woman Youth"),ISERROR(MATCH($N130,Lge_Junior!$B:$B,0))),1,0))</f>
        <v/>
      </c>
      <c r="F130" s="2" t="str">
        <f>IF($G130="","",IF(AND(LEFT($O130,3)="You",ISERROR(MATCH($N130,Lge_Youth!$B:$B,0))),1,0))</f>
        <v/>
      </c>
      <c r="G130" s="3"/>
      <c r="H130" s="3"/>
      <c r="I130" s="3"/>
      <c r="J130" s="3"/>
      <c r="K130" s="6"/>
      <c r="L130" s="4"/>
      <c r="M130" s="4"/>
      <c r="N130" s="8"/>
      <c r="O130" s="8"/>
      <c r="P130" s="9"/>
      <c r="Q130" s="8"/>
      <c r="R130" s="8"/>
      <c r="S130" s="9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10"/>
    </row>
    <row r="131" spans="1:39" x14ac:dyDescent="0.2">
      <c r="A131" s="2" t="str">
        <f>IF($G131="","",IF(ISERROR(MATCH($N131,Lge_Scratch!$B:$B,0)),1,0))</f>
        <v/>
      </c>
      <c r="B131" s="2" t="str">
        <f>IF($G131="","",IF(AND(LEFT($Q131,8)="Non-aero",ISERROR(MATCH($N131,Lge_NonAero!$B:$B,0))),1,0))</f>
        <v/>
      </c>
      <c r="C131" s="5" t="str">
        <f>IF($G131="","",IF(AND(LEFT($O131,3)="Wom",ISERROR(MATCH($N131,Lge_Women!$B:$B,0))),1,0))</f>
        <v/>
      </c>
      <c r="D131" s="2" t="str">
        <f>IF($G131="","",IF(AND(OR($O131="Vet",$O131="Woman Vet"),ISERROR(MATCH($N131,Lge_Vets!$B:$B,0))),1,0))</f>
        <v/>
      </c>
      <c r="E131" s="2" t="str">
        <f>IF($G131="","",IF(AND(OR($O131="Junior",$O131="Woman Junior",$O131="Youth",$O131="Woman Youth"),ISERROR(MATCH($N131,Lge_Junior!$B:$B,0))),1,0))</f>
        <v/>
      </c>
      <c r="F131" s="2" t="str">
        <f>IF($G131="","",IF(AND(LEFT($O131,3)="You",ISERROR(MATCH($N131,Lge_Youth!$B:$B,0))),1,0))</f>
        <v/>
      </c>
      <c r="G131" s="3"/>
      <c r="H131" s="3"/>
      <c r="I131" s="3"/>
      <c r="J131" s="3"/>
      <c r="K131" s="6"/>
      <c r="L131" s="4"/>
      <c r="M131" s="4"/>
      <c r="N131" s="8"/>
      <c r="O131" s="8"/>
      <c r="P131" s="9"/>
      <c r="Q131" s="8"/>
      <c r="R131" s="8"/>
      <c r="S131" s="9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10"/>
    </row>
    <row r="132" spans="1:39" x14ac:dyDescent="0.2">
      <c r="A132" s="2" t="str">
        <f>IF($G132="","",IF(ISERROR(MATCH($N132,Lge_Scratch!$B:$B,0)),1,0))</f>
        <v/>
      </c>
      <c r="B132" s="2" t="str">
        <f>IF($G132="","",IF(AND(LEFT($Q132,8)="Non-aero",ISERROR(MATCH($N132,Lge_NonAero!$B:$B,0))),1,0))</f>
        <v/>
      </c>
      <c r="C132" s="5" t="str">
        <f>IF($G132="","",IF(AND(LEFT($O132,3)="Wom",ISERROR(MATCH($N132,Lge_Women!$B:$B,0))),1,0))</f>
        <v/>
      </c>
      <c r="D132" s="2" t="str">
        <f>IF($G132="","",IF(AND(OR($O132="Vet",$O132="Woman Vet"),ISERROR(MATCH($N132,Lge_Vets!$B:$B,0))),1,0))</f>
        <v/>
      </c>
      <c r="E132" s="2" t="str">
        <f>IF($G132="","",IF(AND(OR($O132="Junior",$O132="Woman Junior",$O132="Youth",$O132="Woman Youth"),ISERROR(MATCH($N132,Lge_Junior!$B:$B,0))),1,0))</f>
        <v/>
      </c>
      <c r="F132" s="2" t="str">
        <f>IF($G132="","",IF(AND(LEFT($O132,3)="You",ISERROR(MATCH($N132,Lge_Youth!$B:$B,0))),1,0))</f>
        <v/>
      </c>
      <c r="G132" s="3"/>
      <c r="H132" s="3"/>
      <c r="I132" s="3"/>
      <c r="J132" s="3"/>
      <c r="K132" s="6"/>
      <c r="L132" s="4"/>
      <c r="M132" s="4"/>
      <c r="N132" s="8"/>
      <c r="O132" s="8"/>
      <c r="P132" s="9"/>
      <c r="Q132" s="8"/>
      <c r="R132" s="8"/>
      <c r="S132" s="9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10"/>
    </row>
    <row r="133" spans="1:39" x14ac:dyDescent="0.2">
      <c r="A133" s="2" t="str">
        <f>IF($G133="","",IF(ISERROR(MATCH($N133,Lge_Scratch!$B:$B,0)),1,0))</f>
        <v/>
      </c>
      <c r="B133" s="2" t="str">
        <f>IF($G133="","",IF(AND(LEFT($Q133,8)="Non-aero",ISERROR(MATCH($N133,Lge_NonAero!$B:$B,0))),1,0))</f>
        <v/>
      </c>
      <c r="C133" s="5" t="str">
        <f>IF($G133="","",IF(AND(LEFT($O133,3)="Wom",ISERROR(MATCH($N133,Lge_Women!$B:$B,0))),1,0))</f>
        <v/>
      </c>
      <c r="D133" s="2" t="str">
        <f>IF($G133="","",IF(AND(OR($O133="Vet",$O133="Woman Vet"),ISERROR(MATCH($N133,Lge_Vets!$B:$B,0))),1,0))</f>
        <v/>
      </c>
      <c r="E133" s="2" t="str">
        <f>IF($G133="","",IF(AND(OR($O133="Junior",$O133="Woman Junior",$O133="Youth",$O133="Woman Youth"),ISERROR(MATCH($N133,Lge_Junior!$B:$B,0))),1,0))</f>
        <v/>
      </c>
      <c r="F133" s="2" t="str">
        <f>IF($G133="","",IF(AND(LEFT($O133,3)="You",ISERROR(MATCH($N133,Lge_Youth!$B:$B,0))),1,0))</f>
        <v/>
      </c>
      <c r="G133" s="3"/>
      <c r="H133" s="3"/>
      <c r="I133" s="3"/>
      <c r="J133" s="3"/>
      <c r="K133" s="6"/>
      <c r="L133" s="4"/>
      <c r="M133" s="4"/>
      <c r="N133" s="8"/>
      <c r="O133" s="8"/>
      <c r="P133" s="9"/>
      <c r="Q133" s="8"/>
      <c r="R133" s="8"/>
      <c r="S133" s="9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10"/>
    </row>
    <row r="134" spans="1:39" x14ac:dyDescent="0.2">
      <c r="A134" s="2" t="str">
        <f>IF($G134="","",IF(ISERROR(MATCH($N134,Lge_Scratch!$B:$B,0)),1,0))</f>
        <v/>
      </c>
      <c r="B134" s="2" t="str">
        <f>IF($G134="","",IF(AND(LEFT($Q134,8)="Non-aero",ISERROR(MATCH($N134,Lge_NonAero!$B:$B,0))),1,0))</f>
        <v/>
      </c>
      <c r="C134" s="5" t="str">
        <f>IF($G134="","",IF(AND(LEFT($O134,3)="Wom",ISERROR(MATCH($N134,Lge_Women!$B:$B,0))),1,0))</f>
        <v/>
      </c>
      <c r="D134" s="2" t="str">
        <f>IF($G134="","",IF(AND(OR($O134="Vet",$O134="Woman Vet"),ISERROR(MATCH($N134,Lge_Vets!$B:$B,0))),1,0))</f>
        <v/>
      </c>
      <c r="E134" s="2" t="str">
        <f>IF($G134="","",IF(AND(OR($O134="Junior",$O134="Woman Junior",$O134="Youth",$O134="Woman Youth"),ISERROR(MATCH($N134,Lge_Junior!$B:$B,0))),1,0))</f>
        <v/>
      </c>
      <c r="F134" s="2" t="str">
        <f>IF($G134="","",IF(AND(LEFT($O134,3)="You",ISERROR(MATCH($N134,Lge_Youth!$B:$B,0))),1,0))</f>
        <v/>
      </c>
      <c r="G134" s="3"/>
      <c r="H134" s="3"/>
      <c r="I134" s="3"/>
      <c r="J134" s="3"/>
      <c r="K134" s="6"/>
      <c r="L134" s="4"/>
      <c r="M134" s="4"/>
      <c r="N134" s="8"/>
      <c r="O134" s="8"/>
      <c r="P134" s="9"/>
      <c r="Q134" s="8"/>
      <c r="R134" s="8"/>
      <c r="S134" s="9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10"/>
    </row>
    <row r="135" spans="1:39" x14ac:dyDescent="0.2">
      <c r="A135" s="2" t="str">
        <f>IF($G135="","",IF(ISERROR(MATCH($N135,Lge_Scratch!$B:$B,0)),1,0))</f>
        <v/>
      </c>
      <c r="B135" s="2" t="str">
        <f>IF($G135="","",IF(AND(LEFT($Q135,8)="Non-aero",ISERROR(MATCH($N135,Lge_NonAero!$B:$B,0))),1,0))</f>
        <v/>
      </c>
      <c r="C135" s="5" t="str">
        <f>IF($G135="","",IF(AND(LEFT($O135,3)="Wom",ISERROR(MATCH($N135,Lge_Women!$B:$B,0))),1,0))</f>
        <v/>
      </c>
      <c r="D135" s="2" t="str">
        <f>IF($G135="","",IF(AND(OR($O135="Vet",$O135="Woman Vet"),ISERROR(MATCH($N135,Lge_Vets!$B:$B,0))),1,0))</f>
        <v/>
      </c>
      <c r="E135" s="2" t="str">
        <f>IF($G135="","",IF(AND(OR($O135="Junior",$O135="Woman Junior",$O135="Youth",$O135="Woman Youth"),ISERROR(MATCH($N135,Lge_Junior!$B:$B,0))),1,0))</f>
        <v/>
      </c>
      <c r="F135" s="2" t="str">
        <f>IF($G135="","",IF(AND(LEFT($O135,3)="You",ISERROR(MATCH($N135,Lge_Youth!$B:$B,0))),1,0))</f>
        <v/>
      </c>
      <c r="G135" s="3"/>
      <c r="H135" s="3"/>
      <c r="I135" s="3"/>
      <c r="J135" s="3"/>
      <c r="K135" s="6"/>
      <c r="L135" s="4"/>
      <c r="M135" s="4"/>
      <c r="N135" s="8"/>
      <c r="O135" s="8"/>
      <c r="P135" s="9"/>
      <c r="Q135" s="8"/>
      <c r="R135" s="8"/>
      <c r="S135" s="9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10"/>
    </row>
    <row r="136" spans="1:39" x14ac:dyDescent="0.2">
      <c r="A136" s="2" t="str">
        <f>IF($G136="","",IF(ISERROR(MATCH($N136,Lge_Scratch!$B:$B,0)),1,0))</f>
        <v/>
      </c>
      <c r="B136" s="2" t="str">
        <f>IF($G136="","",IF(AND(LEFT($Q136,8)="Non-aero",ISERROR(MATCH($N136,Lge_NonAero!$B:$B,0))),1,0))</f>
        <v/>
      </c>
      <c r="C136" s="5" t="str">
        <f>IF($G136="","",IF(AND(LEFT($O136,3)="Wom",ISERROR(MATCH($N136,Lge_Women!$B:$B,0))),1,0))</f>
        <v/>
      </c>
      <c r="D136" s="2" t="str">
        <f>IF($G136="","",IF(AND(OR($O136="Vet",$O136="Woman Vet"),ISERROR(MATCH($N136,Lge_Vets!$B:$B,0))),1,0))</f>
        <v/>
      </c>
      <c r="E136" s="2" t="str">
        <f>IF($G136="","",IF(AND(OR($O136="Junior",$O136="Woman Junior",$O136="Youth",$O136="Woman Youth"),ISERROR(MATCH($N136,Lge_Junior!$B:$B,0))),1,0))</f>
        <v/>
      </c>
      <c r="F136" s="2" t="str">
        <f>IF($G136="","",IF(AND(LEFT($O136,3)="You",ISERROR(MATCH($N136,Lge_Youth!$B:$B,0))),1,0))</f>
        <v/>
      </c>
      <c r="G136" s="3"/>
      <c r="H136" s="3"/>
      <c r="I136" s="3"/>
      <c r="J136" s="3"/>
      <c r="K136" s="6"/>
      <c r="L136" s="4"/>
      <c r="M136" s="4"/>
      <c r="N136" s="8"/>
      <c r="O136" s="8"/>
      <c r="P136" s="9"/>
      <c r="Q136" s="8"/>
      <c r="R136" s="8"/>
      <c r="S136" s="9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10"/>
    </row>
    <row r="137" spans="1:39" x14ac:dyDescent="0.2">
      <c r="A137" s="2" t="str">
        <f>IF($G137="","",IF(ISERROR(MATCH($N137,Lge_Scratch!$B:$B,0)),1,0))</f>
        <v/>
      </c>
      <c r="B137" s="2" t="str">
        <f>IF($G137="","",IF(AND(LEFT($Q137,8)="Non-aero",ISERROR(MATCH($N137,Lge_NonAero!$B:$B,0))),1,0))</f>
        <v/>
      </c>
      <c r="C137" s="5" t="str">
        <f>IF($G137="","",IF(AND(LEFT($O137,3)="Wom",ISERROR(MATCH($N137,Lge_Women!$B:$B,0))),1,0))</f>
        <v/>
      </c>
      <c r="D137" s="2" t="str">
        <f>IF($G137="","",IF(AND(OR($O137="Vet",$O137="Woman Vet"),ISERROR(MATCH($N137,Lge_Vets!$B:$B,0))),1,0))</f>
        <v/>
      </c>
      <c r="E137" s="2" t="str">
        <f>IF($G137="","",IF(AND(OR($O137="Junior",$O137="Woman Junior",$O137="Youth",$O137="Woman Youth"),ISERROR(MATCH($N137,Lge_Junior!$B:$B,0))),1,0))</f>
        <v/>
      </c>
      <c r="F137" s="2" t="str">
        <f>IF($G137="","",IF(AND(LEFT($O137,3)="You",ISERROR(MATCH($N137,Lge_Youth!$B:$B,0))),1,0))</f>
        <v/>
      </c>
      <c r="G137" s="3"/>
      <c r="H137" s="3"/>
      <c r="I137" s="3"/>
      <c r="J137" s="3"/>
      <c r="K137" s="6"/>
      <c r="L137" s="4"/>
      <c r="M137" s="4"/>
      <c r="N137" s="8"/>
      <c r="O137" s="8"/>
      <c r="P137" s="9"/>
      <c r="Q137" s="8"/>
      <c r="R137" s="8"/>
      <c r="S137" s="9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10"/>
    </row>
    <row r="138" spans="1:39" x14ac:dyDescent="0.2">
      <c r="A138" s="2" t="str">
        <f>IF($G138="","",IF(ISERROR(MATCH($N138,Lge_Scratch!$B:$B,0)),1,0))</f>
        <v/>
      </c>
      <c r="B138" s="2" t="str">
        <f>IF($G138="","",IF(AND(LEFT($Q138,8)="Non-aero",ISERROR(MATCH($N138,Lge_NonAero!$B:$B,0))),1,0))</f>
        <v/>
      </c>
      <c r="C138" s="5" t="str">
        <f>IF($G138="","",IF(AND(LEFT($O138,3)="Wom",ISERROR(MATCH($N138,Lge_Women!$B:$B,0))),1,0))</f>
        <v/>
      </c>
      <c r="D138" s="2" t="str">
        <f>IF($G138="","",IF(AND(OR($O138="Vet",$O138="Woman Vet"),ISERROR(MATCH($N138,Lge_Vets!$B:$B,0))),1,0))</f>
        <v/>
      </c>
      <c r="E138" s="2" t="str">
        <f>IF($G138="","",IF(AND(OR($O138="Junior",$O138="Woman Junior",$O138="Youth",$O138="Woman Youth"),ISERROR(MATCH($N138,Lge_Junior!$B:$B,0))),1,0))</f>
        <v/>
      </c>
      <c r="F138" s="2" t="str">
        <f>IF($G138="","",IF(AND(LEFT($O138,3)="You",ISERROR(MATCH($N138,Lge_Youth!$B:$B,0))),1,0))</f>
        <v/>
      </c>
      <c r="G138" s="3"/>
      <c r="H138" s="3"/>
      <c r="I138" s="3"/>
      <c r="J138" s="3"/>
      <c r="K138" s="6"/>
      <c r="L138" s="4"/>
      <c r="M138" s="4"/>
      <c r="N138" s="8"/>
      <c r="O138" s="8"/>
      <c r="P138" s="9"/>
      <c r="Q138" s="8"/>
      <c r="R138" s="8"/>
      <c r="S138" s="9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10"/>
    </row>
    <row r="139" spans="1:39" x14ac:dyDescent="0.2">
      <c r="A139" s="2" t="str">
        <f>IF($G139="","",IF(ISERROR(MATCH($N139,Lge_Scratch!$B:$B,0)),1,0))</f>
        <v/>
      </c>
      <c r="B139" s="2" t="str">
        <f>IF($G139="","",IF(AND(LEFT($Q139,8)="Non-aero",ISERROR(MATCH($N139,Lge_NonAero!$B:$B,0))),1,0))</f>
        <v/>
      </c>
      <c r="C139" s="5" t="str">
        <f>IF($G139="","",IF(AND(LEFT($O139,3)="Wom",ISERROR(MATCH($N139,Lge_Women!$B:$B,0))),1,0))</f>
        <v/>
      </c>
      <c r="D139" s="2" t="str">
        <f>IF($G139="","",IF(AND(OR($O139="Vet",$O139="Woman Vet"),ISERROR(MATCH($N139,Lge_Vets!$B:$B,0))),1,0))</f>
        <v/>
      </c>
      <c r="E139" s="2" t="str">
        <f>IF($G139="","",IF(AND(OR($O139="Junior",$O139="Woman Junior",$O139="Youth",$O139="Woman Youth"),ISERROR(MATCH($N139,Lge_Junior!$B:$B,0))),1,0))</f>
        <v/>
      </c>
      <c r="F139" s="2" t="str">
        <f>IF($G139="","",IF(AND(LEFT($O139,3)="You",ISERROR(MATCH($N139,Lge_Youth!$B:$B,0))),1,0))</f>
        <v/>
      </c>
      <c r="G139" s="3"/>
      <c r="H139" s="3"/>
      <c r="I139" s="3"/>
      <c r="J139" s="3"/>
      <c r="K139" s="6"/>
      <c r="L139" s="4"/>
      <c r="M139" s="4"/>
      <c r="N139" s="8"/>
      <c r="O139" s="8"/>
      <c r="P139" s="9"/>
      <c r="Q139" s="8"/>
      <c r="R139" s="8"/>
      <c r="S139" s="9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10"/>
    </row>
    <row r="140" spans="1:39" x14ac:dyDescent="0.2">
      <c r="A140" s="2" t="str">
        <f>IF($G140="","",IF(ISERROR(MATCH($N140,Lge_Scratch!$B:$B,0)),1,0))</f>
        <v/>
      </c>
      <c r="B140" s="2" t="str">
        <f>IF($G140="","",IF(AND(LEFT($Q140,8)="Non-aero",ISERROR(MATCH($N140,Lge_NonAero!$B:$B,0))),1,0))</f>
        <v/>
      </c>
      <c r="C140" s="5" t="str">
        <f>IF($G140="","",IF(AND(LEFT($O140,3)="Wom",ISERROR(MATCH($N140,Lge_Women!$B:$B,0))),1,0))</f>
        <v/>
      </c>
      <c r="D140" s="2" t="str">
        <f>IF($G140="","",IF(AND(OR($O140="Vet",$O140="Woman Vet"),ISERROR(MATCH($N140,Lge_Vets!$B:$B,0))),1,0))</f>
        <v/>
      </c>
      <c r="E140" s="2" t="str">
        <f>IF($G140="","",IF(AND(OR($O140="Junior",$O140="Woman Junior",$O140="Youth",$O140="Woman Youth"),ISERROR(MATCH($N140,Lge_Junior!$B:$B,0))),1,0))</f>
        <v/>
      </c>
      <c r="F140" s="2" t="str">
        <f>IF($G140="","",IF(AND(LEFT($O140,3)="You",ISERROR(MATCH($N140,Lge_Youth!$B:$B,0))),1,0))</f>
        <v/>
      </c>
      <c r="G140" s="3"/>
      <c r="H140" s="3"/>
      <c r="I140" s="3"/>
      <c r="J140" s="3"/>
      <c r="K140" s="6"/>
      <c r="L140" s="4"/>
      <c r="M140" s="4"/>
      <c r="N140" s="8"/>
      <c r="O140" s="8"/>
      <c r="P140" s="9"/>
      <c r="Q140" s="8"/>
      <c r="R140" s="8"/>
      <c r="S140" s="9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10"/>
    </row>
    <row r="141" spans="1:39" x14ac:dyDescent="0.2">
      <c r="A141" s="2" t="str">
        <f>IF($G141="","",IF(ISERROR(MATCH($N141,Lge_Scratch!$B:$B,0)),1,0))</f>
        <v/>
      </c>
      <c r="B141" s="2" t="str">
        <f>IF($G141="","",IF(AND(LEFT($Q141,8)="Non-aero",ISERROR(MATCH($N141,Lge_NonAero!$B:$B,0))),1,0))</f>
        <v/>
      </c>
      <c r="C141" s="5" t="str">
        <f>IF($G141="","",IF(AND(LEFT($O141,3)="Wom",ISERROR(MATCH($N141,Lge_Women!$B:$B,0))),1,0))</f>
        <v/>
      </c>
      <c r="D141" s="2" t="str">
        <f>IF($G141="","",IF(AND(OR($O141="Vet",$O141="Woman Vet"),ISERROR(MATCH($N141,Lge_Vets!$B:$B,0))),1,0))</f>
        <v/>
      </c>
      <c r="E141" s="2" t="str">
        <f>IF($G141="","",IF(AND(OR($O141="Junior",$O141="Woman Junior",$O141="Youth",$O141="Woman Youth"),ISERROR(MATCH($N141,Lge_Junior!$B:$B,0))),1,0))</f>
        <v/>
      </c>
      <c r="F141" s="2" t="str">
        <f>IF($G141="","",IF(AND(LEFT($O141,3)="You",ISERROR(MATCH($N141,Lge_Youth!$B:$B,0))),1,0))</f>
        <v/>
      </c>
      <c r="G141" s="3"/>
      <c r="H141" s="3"/>
      <c r="I141" s="3"/>
      <c r="J141" s="3"/>
      <c r="K141" s="6"/>
      <c r="L141" s="4"/>
      <c r="M141" s="4"/>
      <c r="N141" s="8"/>
      <c r="O141" s="8"/>
      <c r="P141" s="9"/>
      <c r="Q141" s="8"/>
      <c r="R141" s="8"/>
      <c r="S141" s="9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10"/>
    </row>
    <row r="142" spans="1:39" x14ac:dyDescent="0.2">
      <c r="A142" s="2" t="str">
        <f>IF($G142="","",IF(ISERROR(MATCH($N142,Lge_Scratch!$B:$B,0)),1,0))</f>
        <v/>
      </c>
      <c r="B142" s="2" t="str">
        <f>IF($G142="","",IF(AND(LEFT($Q142,8)="Non-aero",ISERROR(MATCH($N142,Lge_NonAero!$B:$B,0))),1,0))</f>
        <v/>
      </c>
      <c r="C142" s="5" t="str">
        <f>IF($G142="","",IF(AND(LEFT($O142,3)="Wom",ISERROR(MATCH($N142,Lge_Women!$B:$B,0))),1,0))</f>
        <v/>
      </c>
      <c r="D142" s="2" t="str">
        <f>IF($G142="","",IF(AND(OR($O142="Vet",$O142="Woman Vet"),ISERROR(MATCH($N142,Lge_Vets!$B:$B,0))),1,0))</f>
        <v/>
      </c>
      <c r="E142" s="2" t="str">
        <f>IF($G142="","",IF(AND(OR($O142="Junior",$O142="Woman Junior",$O142="Youth",$O142="Woman Youth"),ISERROR(MATCH($N142,Lge_Junior!$B:$B,0))),1,0))</f>
        <v/>
      </c>
      <c r="F142" s="2" t="str">
        <f>IF($G142="","",IF(AND(LEFT($O142,3)="You",ISERROR(MATCH($N142,Lge_Youth!$B:$B,0))),1,0))</f>
        <v/>
      </c>
      <c r="G142" s="3"/>
      <c r="H142" s="3"/>
      <c r="I142" s="3"/>
      <c r="J142" s="3"/>
      <c r="K142" s="6"/>
      <c r="L142" s="4"/>
      <c r="M142" s="4"/>
      <c r="N142" s="8"/>
      <c r="O142" s="8"/>
      <c r="P142" s="9"/>
      <c r="Q142" s="8"/>
      <c r="R142" s="8"/>
      <c r="S142" s="9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10"/>
    </row>
    <row r="143" spans="1:39" x14ac:dyDescent="0.2">
      <c r="A143" s="2" t="str">
        <f>IF($G143="","",IF(ISERROR(MATCH($N143,Lge_Scratch!$B:$B,0)),1,0))</f>
        <v/>
      </c>
      <c r="B143" s="2" t="str">
        <f>IF($G143="","",IF(AND(LEFT($Q143,8)="Non-aero",ISERROR(MATCH($N143,Lge_NonAero!$B:$B,0))),1,0))</f>
        <v/>
      </c>
      <c r="C143" s="5" t="str">
        <f>IF($G143="","",IF(AND(LEFT($O143,3)="Wom",ISERROR(MATCH($N143,Lge_Women!$B:$B,0))),1,0))</f>
        <v/>
      </c>
      <c r="D143" s="2" t="str">
        <f>IF($G143="","",IF(AND(OR($O143="Vet",$O143="Woman Vet"),ISERROR(MATCH($N143,Lge_Vets!$B:$B,0))),1,0))</f>
        <v/>
      </c>
      <c r="E143" s="2" t="str">
        <f>IF($G143="","",IF(AND(OR($O143="Junior",$O143="Woman Junior",$O143="Youth",$O143="Woman Youth"),ISERROR(MATCH($N143,Lge_Junior!$B:$B,0))),1,0))</f>
        <v/>
      </c>
      <c r="F143" s="2" t="str">
        <f>IF($G143="","",IF(AND(LEFT($O143,3)="You",ISERROR(MATCH($N143,Lge_Youth!$B:$B,0))),1,0))</f>
        <v/>
      </c>
      <c r="G143" s="3"/>
      <c r="H143" s="3"/>
      <c r="I143" s="3"/>
      <c r="J143" s="3"/>
      <c r="K143" s="6"/>
      <c r="L143" s="4"/>
      <c r="M143" s="4"/>
      <c r="N143" s="8"/>
      <c r="O143" s="8"/>
      <c r="P143" s="9"/>
      <c r="Q143" s="8"/>
      <c r="R143" s="8"/>
      <c r="S143" s="9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10"/>
    </row>
    <row r="144" spans="1:39" x14ac:dyDescent="0.2">
      <c r="A144" s="2" t="str">
        <f>IF($G144="","",IF(ISERROR(MATCH($N144,Lge_Scratch!$B:$B,0)),1,0))</f>
        <v/>
      </c>
      <c r="B144" s="2" t="str">
        <f>IF($G144="","",IF(AND(LEFT($Q144,8)="Non-aero",ISERROR(MATCH($N144,Lge_NonAero!$B:$B,0))),1,0))</f>
        <v/>
      </c>
      <c r="C144" s="5" t="str">
        <f>IF($G144="","",IF(AND(LEFT($O144,3)="Wom",ISERROR(MATCH($N144,Lge_Women!$B:$B,0))),1,0))</f>
        <v/>
      </c>
      <c r="D144" s="2" t="str">
        <f>IF($G144="","",IF(AND(OR($O144="Vet",$O144="Woman Vet"),ISERROR(MATCH($N144,Lge_Vets!$B:$B,0))),1,0))</f>
        <v/>
      </c>
      <c r="E144" s="2" t="str">
        <f>IF($G144="","",IF(AND(OR($O144="Junior",$O144="Woman Junior",$O144="Youth",$O144="Woman Youth"),ISERROR(MATCH($N144,Lge_Junior!$B:$B,0))),1,0))</f>
        <v/>
      </c>
      <c r="F144" s="2" t="str">
        <f>IF($G144="","",IF(AND(LEFT($O144,3)="You",ISERROR(MATCH($N144,Lge_Youth!$B:$B,0))),1,0))</f>
        <v/>
      </c>
      <c r="G144" s="3"/>
      <c r="H144" s="3"/>
      <c r="I144" s="3"/>
      <c r="J144" s="3"/>
      <c r="K144" s="6"/>
      <c r="L144" s="4"/>
      <c r="M144" s="4"/>
      <c r="N144" s="8"/>
      <c r="O144" s="8"/>
      <c r="P144" s="9"/>
      <c r="Q144" s="8"/>
      <c r="R144" s="8"/>
      <c r="S144" s="9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10"/>
    </row>
    <row r="145" spans="1:39" x14ac:dyDescent="0.2">
      <c r="A145" s="2" t="str">
        <f>IF($G145="","",IF(ISERROR(MATCH($N145,Lge_Scratch!$B:$B,0)),1,0))</f>
        <v/>
      </c>
      <c r="B145" s="2" t="str">
        <f>IF($G145="","",IF(AND(LEFT($Q145,8)="Non-aero",ISERROR(MATCH($N145,Lge_NonAero!$B:$B,0))),1,0))</f>
        <v/>
      </c>
      <c r="C145" s="5" t="str">
        <f>IF($G145="","",IF(AND(LEFT($O145,3)="Wom",ISERROR(MATCH($N145,Lge_Women!$B:$B,0))),1,0))</f>
        <v/>
      </c>
      <c r="D145" s="2" t="str">
        <f>IF($G145="","",IF(AND(OR($O145="Vet",$O145="Woman Vet"),ISERROR(MATCH($N145,Lge_Vets!$B:$B,0))),1,0))</f>
        <v/>
      </c>
      <c r="E145" s="2" t="str">
        <f>IF($G145="","",IF(AND(OR($O145="Junior",$O145="Woman Junior",$O145="Youth",$O145="Woman Youth"),ISERROR(MATCH($N145,Lge_Junior!$B:$B,0))),1,0))</f>
        <v/>
      </c>
      <c r="F145" s="2" t="str">
        <f>IF($G145="","",IF(AND(LEFT($O145,3)="You",ISERROR(MATCH($N145,Lge_Youth!$B:$B,0))),1,0))</f>
        <v/>
      </c>
      <c r="G145" s="3"/>
      <c r="H145" s="3"/>
      <c r="I145" s="3"/>
      <c r="J145" s="3"/>
      <c r="K145" s="6"/>
      <c r="L145" s="4"/>
      <c r="M145" s="4"/>
      <c r="N145" s="8"/>
      <c r="O145" s="8"/>
      <c r="P145" s="9"/>
      <c r="Q145" s="8"/>
      <c r="R145" s="8"/>
      <c r="S145" s="9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10"/>
    </row>
    <row r="146" spans="1:39" x14ac:dyDescent="0.2">
      <c r="A146" s="2" t="str">
        <f>IF($G146="","",IF(ISERROR(MATCH($N146,Lge_Scratch!$B:$B,0)),1,0))</f>
        <v/>
      </c>
      <c r="B146" s="2" t="str">
        <f>IF($G146="","",IF(AND(LEFT($Q146,8)="Non-aero",ISERROR(MATCH($N146,Lge_NonAero!$B:$B,0))),1,0))</f>
        <v/>
      </c>
      <c r="C146" s="5" t="str">
        <f>IF($G146="","",IF(AND(LEFT($O146,3)="Wom",ISERROR(MATCH($N146,Lge_Women!$B:$B,0))),1,0))</f>
        <v/>
      </c>
      <c r="D146" s="2" t="str">
        <f>IF($G146="","",IF(AND(OR($O146="Vet",$O146="Woman Vet"),ISERROR(MATCH($N146,Lge_Vets!$B:$B,0))),1,0))</f>
        <v/>
      </c>
      <c r="E146" s="2" t="str">
        <f>IF($G146="","",IF(AND(OR($O146="Junior",$O146="Woman Junior",$O146="Youth",$O146="Woman Youth"),ISERROR(MATCH($N146,Lge_Junior!$B:$B,0))),1,0))</f>
        <v/>
      </c>
      <c r="F146" s="2" t="str">
        <f>IF($G146="","",IF(AND(LEFT($O146,3)="You",ISERROR(MATCH($N146,Lge_Youth!$B:$B,0))),1,0))</f>
        <v/>
      </c>
      <c r="G146" s="3"/>
      <c r="H146" s="3"/>
      <c r="I146" s="3"/>
      <c r="J146" s="3"/>
      <c r="K146" s="6"/>
      <c r="L146" s="4"/>
      <c r="M146" s="4"/>
      <c r="N146" s="8"/>
      <c r="O146" s="8"/>
      <c r="P146" s="9"/>
      <c r="Q146" s="8"/>
      <c r="R146" s="8"/>
      <c r="S146" s="9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10"/>
    </row>
    <row r="147" spans="1:39" x14ac:dyDescent="0.2">
      <c r="A147" s="2" t="str">
        <f>IF($G147="","",IF(ISERROR(MATCH($N147,Lge_Scratch!$B:$B,0)),1,0))</f>
        <v/>
      </c>
      <c r="B147" s="2" t="str">
        <f>IF($G147="","",IF(AND(LEFT($Q147,8)="Non-aero",ISERROR(MATCH($N147,Lge_NonAero!$B:$B,0))),1,0))</f>
        <v/>
      </c>
      <c r="C147" s="5" t="str">
        <f>IF($G147="","",IF(AND(LEFT($O147,3)="Wom",ISERROR(MATCH($N147,Lge_Women!$B:$B,0))),1,0))</f>
        <v/>
      </c>
      <c r="D147" s="2" t="str">
        <f>IF($G147="","",IF(AND(OR($O147="Vet",$O147="Woman Vet"),ISERROR(MATCH($N147,Lge_Vets!$B:$B,0))),1,0))</f>
        <v/>
      </c>
      <c r="E147" s="2" t="str">
        <f>IF($G147="","",IF(AND(OR($O147="Junior",$O147="Woman Junior",$O147="Youth",$O147="Woman Youth"),ISERROR(MATCH($N147,Lge_Junior!$B:$B,0))),1,0))</f>
        <v/>
      </c>
      <c r="F147" s="2" t="str">
        <f>IF($G147="","",IF(AND(LEFT($O147,3)="You",ISERROR(MATCH($N147,Lge_Youth!$B:$B,0))),1,0))</f>
        <v/>
      </c>
      <c r="G147" s="3"/>
      <c r="H147" s="3"/>
      <c r="I147" s="3"/>
      <c r="J147" s="3"/>
      <c r="K147" s="6"/>
      <c r="L147" s="4"/>
      <c r="M147" s="4"/>
      <c r="N147" s="8"/>
      <c r="O147" s="8"/>
      <c r="P147" s="9"/>
      <c r="Q147" s="8"/>
      <c r="R147" s="8"/>
      <c r="S147" s="9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10"/>
    </row>
    <row r="148" spans="1:39" x14ac:dyDescent="0.2">
      <c r="A148" s="2" t="str">
        <f>IF($G148="","",IF(ISERROR(MATCH($N148,Lge_Scratch!$B:$B,0)),1,0))</f>
        <v/>
      </c>
      <c r="B148" s="2" t="str">
        <f>IF($G148="","",IF(AND(LEFT($Q148,8)="Non-aero",ISERROR(MATCH($N148,Lge_NonAero!$B:$B,0))),1,0))</f>
        <v/>
      </c>
      <c r="C148" s="5" t="str">
        <f>IF($G148="","",IF(AND(LEFT($O148,3)="Wom",ISERROR(MATCH($N148,Lge_Women!$B:$B,0))),1,0))</f>
        <v/>
      </c>
      <c r="D148" s="2" t="str">
        <f>IF($G148="","",IF(AND(OR($O148="Vet",$O148="Woman Vet"),ISERROR(MATCH($N148,Lge_Vets!$B:$B,0))),1,0))</f>
        <v/>
      </c>
      <c r="E148" s="2" t="str">
        <f>IF($G148="","",IF(AND(OR($O148="Junior",$O148="Woman Junior",$O148="Youth",$O148="Woman Youth"),ISERROR(MATCH($N148,Lge_Junior!$B:$B,0))),1,0))</f>
        <v/>
      </c>
      <c r="F148" s="2" t="str">
        <f>IF($G148="","",IF(AND(LEFT($O148,3)="You",ISERROR(MATCH($N148,Lge_Youth!$B:$B,0))),1,0))</f>
        <v/>
      </c>
      <c r="G148" s="3"/>
      <c r="H148" s="3"/>
      <c r="I148" s="3"/>
      <c r="J148" s="3"/>
      <c r="K148" s="6"/>
      <c r="L148" s="4"/>
      <c r="M148" s="4"/>
      <c r="N148" s="8"/>
      <c r="O148" s="8"/>
      <c r="P148" s="9"/>
      <c r="Q148" s="8"/>
      <c r="R148" s="8"/>
      <c r="S148" s="9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10"/>
    </row>
    <row r="149" spans="1:39" x14ac:dyDescent="0.2">
      <c r="A149" s="2" t="str">
        <f>IF($G149="","",IF(ISERROR(MATCH($N149,Lge_Scratch!$B:$B,0)),1,0))</f>
        <v/>
      </c>
      <c r="B149" s="2" t="str">
        <f>IF($G149="","",IF(AND(LEFT($Q149,8)="Non-aero",ISERROR(MATCH($N149,Lge_NonAero!$B:$B,0))),1,0))</f>
        <v/>
      </c>
      <c r="C149" s="5" t="str">
        <f>IF($G149="","",IF(AND(LEFT($O149,3)="Wom",ISERROR(MATCH($N149,Lge_Women!$B:$B,0))),1,0))</f>
        <v/>
      </c>
      <c r="D149" s="2" t="str">
        <f>IF($G149="","",IF(AND(OR($O149="Vet",$O149="Woman Vet"),ISERROR(MATCH($N149,Lge_Vets!$B:$B,0))),1,0))</f>
        <v/>
      </c>
      <c r="E149" s="2" t="str">
        <f>IF($G149="","",IF(AND(OR($O149="Junior",$O149="Woman Junior",$O149="Youth",$O149="Woman Youth"),ISERROR(MATCH($N149,Lge_Junior!$B:$B,0))),1,0))</f>
        <v/>
      </c>
      <c r="F149" s="2" t="str">
        <f>IF($G149="","",IF(AND(LEFT($O149,3)="You",ISERROR(MATCH($N149,Lge_Youth!$B:$B,0))),1,0))</f>
        <v/>
      </c>
      <c r="G149" s="3"/>
      <c r="H149" s="3"/>
      <c r="I149" s="3"/>
      <c r="J149" s="3"/>
      <c r="K149" s="6"/>
      <c r="L149" s="4"/>
      <c r="M149" s="4"/>
      <c r="N149" s="8"/>
      <c r="O149" s="8"/>
      <c r="P149" s="9"/>
      <c r="Q149" s="8"/>
      <c r="R149" s="8"/>
      <c r="S149" s="9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10"/>
    </row>
    <row r="150" spans="1:39" x14ac:dyDescent="0.2">
      <c r="A150" s="2" t="str">
        <f>IF($G150="","",IF(ISERROR(MATCH($N150,Lge_Scratch!$B:$B,0)),1,0))</f>
        <v/>
      </c>
      <c r="B150" s="2" t="str">
        <f>IF($G150="","",IF(AND(LEFT($Q150,8)="Non-aero",ISERROR(MATCH($N150,Lge_NonAero!$B:$B,0))),1,0))</f>
        <v/>
      </c>
      <c r="C150" s="5" t="str">
        <f>IF($G150="","",IF(AND(LEFT($O150,3)="Wom",ISERROR(MATCH($N150,Lge_Women!$B:$B,0))),1,0))</f>
        <v/>
      </c>
      <c r="D150" s="2" t="str">
        <f>IF($G150="","",IF(AND(OR($O150="Vet",$O150="Woman Vet"),ISERROR(MATCH($N150,Lge_Vets!$B:$B,0))),1,0))</f>
        <v/>
      </c>
      <c r="E150" s="2" t="str">
        <f>IF($G150="","",IF(AND(OR($O150="Junior",$O150="Woman Junior",$O150="Youth",$O150="Woman Youth"),ISERROR(MATCH($N150,Lge_Junior!$B:$B,0))),1,0))</f>
        <v/>
      </c>
      <c r="F150" s="2" t="str">
        <f>IF($G150="","",IF(AND(LEFT($O150,3)="You",ISERROR(MATCH($N150,Lge_Youth!$B:$B,0))),1,0))</f>
        <v/>
      </c>
      <c r="G150" s="3"/>
      <c r="H150" s="3"/>
      <c r="I150" s="3"/>
      <c r="J150" s="3"/>
      <c r="K150" s="6"/>
      <c r="L150" s="4"/>
      <c r="M150" s="4"/>
      <c r="N150" s="8"/>
      <c r="O150" s="8"/>
      <c r="P150" s="9"/>
      <c r="Q150" s="8"/>
      <c r="R150" s="8"/>
      <c r="S150" s="9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10"/>
    </row>
    <row r="151" spans="1:39" x14ac:dyDescent="0.2">
      <c r="A151" s="2" t="str">
        <f>IF($G151="","",IF(ISERROR(MATCH($N151,Lge_Scratch!$B:$B,0)),1,0))</f>
        <v/>
      </c>
      <c r="B151" s="2" t="str">
        <f>IF($G151="","",IF(AND(LEFT($Q151,8)="Non-aero",ISERROR(MATCH($N151,Lge_NonAero!$B:$B,0))),1,0))</f>
        <v/>
      </c>
      <c r="C151" s="5" t="str">
        <f>IF($G151="","",IF(AND(LEFT($O151,3)="Wom",ISERROR(MATCH($N151,Lge_Women!$B:$B,0))),1,0))</f>
        <v/>
      </c>
      <c r="D151" s="2" t="str">
        <f>IF($G151="","",IF(AND(OR($O151="Vet",$O151="Woman Vet"),ISERROR(MATCH($N151,Lge_Vets!$B:$B,0))),1,0))</f>
        <v/>
      </c>
      <c r="E151" s="2" t="str">
        <f>IF($G151="","",IF(AND(OR($O151="Junior",$O151="Woman Junior",$O151="Youth",$O151="Woman Youth"),ISERROR(MATCH($N151,Lge_Junior!$B:$B,0))),1,0))</f>
        <v/>
      </c>
      <c r="F151" s="2" t="str">
        <f>IF($G151="","",IF(AND(LEFT($O151,3)="You",ISERROR(MATCH($N151,Lge_Youth!$B:$B,0))),1,0))</f>
        <v/>
      </c>
      <c r="G151" s="3"/>
      <c r="H151" s="3"/>
      <c r="I151" s="3"/>
      <c r="J151" s="3"/>
      <c r="K151" s="6"/>
      <c r="L151" s="4"/>
      <c r="M151" s="4"/>
      <c r="N151" s="8"/>
      <c r="O151" s="8"/>
      <c r="P151" s="9"/>
      <c r="Q151" s="8"/>
      <c r="R151" s="8"/>
      <c r="S151" s="9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10"/>
    </row>
    <row r="152" spans="1:39" x14ac:dyDescent="0.2">
      <c r="A152" s="2" t="str">
        <f>IF($G152="","",IF(ISERROR(MATCH($N152,Lge_Scratch!$B:$B,0)),1,0))</f>
        <v/>
      </c>
      <c r="B152" s="2" t="str">
        <f>IF($G152="","",IF(AND(LEFT($Q152,8)="Non-aero",ISERROR(MATCH($N152,Lge_NonAero!$B:$B,0))),1,0))</f>
        <v/>
      </c>
      <c r="C152" s="5" t="str">
        <f>IF($G152="","",IF(AND(LEFT($O152,3)="Wom",ISERROR(MATCH($N152,Lge_Women!$B:$B,0))),1,0))</f>
        <v/>
      </c>
      <c r="D152" s="2" t="str">
        <f>IF($G152="","",IF(AND(OR($O152="Vet",$O152="Woman Vet"),ISERROR(MATCH($N152,Lge_Vets!$B:$B,0))),1,0))</f>
        <v/>
      </c>
      <c r="E152" s="2" t="str">
        <f>IF($G152="","",IF(AND(OR($O152="Junior",$O152="Woman Junior",$O152="Youth",$O152="Woman Youth"),ISERROR(MATCH($N152,Lge_Junior!$B:$B,0))),1,0))</f>
        <v/>
      </c>
      <c r="F152" s="2" t="str">
        <f>IF($G152="","",IF(AND(LEFT($O152,3)="You",ISERROR(MATCH($N152,Lge_Youth!$B:$B,0))),1,0))</f>
        <v/>
      </c>
      <c r="G152" s="3"/>
      <c r="H152" s="3"/>
      <c r="I152" s="3"/>
      <c r="J152" s="3"/>
      <c r="K152" s="6"/>
      <c r="L152" s="4"/>
      <c r="M152" s="4"/>
      <c r="N152" s="8"/>
      <c r="O152" s="8"/>
      <c r="P152" s="9"/>
      <c r="Q152" s="8"/>
      <c r="R152" s="8"/>
      <c r="S152" s="9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10"/>
    </row>
    <row r="153" spans="1:39" x14ac:dyDescent="0.2">
      <c r="A153" s="2" t="str">
        <f>IF($G153="","",IF(ISERROR(MATCH($N153,Lge_Scratch!$B:$B,0)),1,0))</f>
        <v/>
      </c>
      <c r="B153" s="2" t="str">
        <f>IF($G153="","",IF(AND(LEFT($Q153,8)="Non-aero",ISERROR(MATCH($N153,Lge_NonAero!$B:$B,0))),1,0))</f>
        <v/>
      </c>
      <c r="C153" s="5" t="str">
        <f>IF($G153="","",IF(AND(LEFT($O153,3)="Wom",ISERROR(MATCH($N153,Lge_Women!$B:$B,0))),1,0))</f>
        <v/>
      </c>
      <c r="D153" s="2" t="str">
        <f>IF($G153="","",IF(AND(OR($O153="Vet",$O153="Woman Vet"),ISERROR(MATCH($N153,Lge_Vets!$B:$B,0))),1,0))</f>
        <v/>
      </c>
      <c r="E153" s="2" t="str">
        <f>IF($G153="","",IF(AND(OR($O153="Junior",$O153="Woman Junior",$O153="Youth",$O153="Woman Youth"),ISERROR(MATCH($N153,Lge_Junior!$B:$B,0))),1,0))</f>
        <v/>
      </c>
      <c r="F153" s="2" t="str">
        <f>IF($G153="","",IF(AND(LEFT($O153,3)="You",ISERROR(MATCH($N153,Lge_Youth!$B:$B,0))),1,0))</f>
        <v/>
      </c>
      <c r="G153" s="3"/>
      <c r="H153" s="3"/>
      <c r="I153" s="3"/>
      <c r="J153" s="3"/>
      <c r="K153" s="6"/>
      <c r="L153" s="4"/>
      <c r="M153" s="4"/>
      <c r="N153" s="8"/>
      <c r="O153" s="8"/>
      <c r="P153" s="9"/>
      <c r="Q153" s="8"/>
      <c r="R153" s="8"/>
      <c r="S153" s="9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10"/>
    </row>
    <row r="154" spans="1:39" x14ac:dyDescent="0.2">
      <c r="A154" s="2" t="str">
        <f>IF($G154="","",IF(ISERROR(MATCH($N154,Lge_Scratch!$B:$B,0)),1,0))</f>
        <v/>
      </c>
      <c r="B154" s="2" t="str">
        <f>IF($G154="","",IF(AND(LEFT($Q154,8)="Non-aero",ISERROR(MATCH($N154,Lge_NonAero!$B:$B,0))),1,0))</f>
        <v/>
      </c>
      <c r="C154" s="5" t="str">
        <f>IF($G154="","",IF(AND(LEFT($O154,3)="Wom",ISERROR(MATCH($N154,Lge_Women!$B:$B,0))),1,0))</f>
        <v/>
      </c>
      <c r="D154" s="2" t="str">
        <f>IF($G154="","",IF(AND(OR($O154="Vet",$O154="Woman Vet"),ISERROR(MATCH($N154,Lge_Vets!$B:$B,0))),1,0))</f>
        <v/>
      </c>
      <c r="E154" s="2" t="str">
        <f>IF($G154="","",IF(AND(OR($O154="Junior",$O154="Woman Junior",$O154="Youth",$O154="Woman Youth"),ISERROR(MATCH($N154,Lge_Junior!$B:$B,0))),1,0))</f>
        <v/>
      </c>
      <c r="F154" s="2" t="str">
        <f>IF($G154="","",IF(AND(LEFT($O154,3)="You",ISERROR(MATCH($N154,Lge_Youth!$B:$B,0))),1,0))</f>
        <v/>
      </c>
      <c r="G154" s="3"/>
      <c r="H154" s="3"/>
      <c r="I154" s="3"/>
      <c r="J154" s="3"/>
      <c r="K154" s="6"/>
      <c r="L154" s="4"/>
      <c r="M154" s="4"/>
      <c r="N154" s="8"/>
      <c r="O154" s="8"/>
      <c r="P154" s="9"/>
      <c r="Q154" s="8"/>
      <c r="R154" s="8"/>
      <c r="S154" s="9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10"/>
    </row>
    <row r="155" spans="1:39" x14ac:dyDescent="0.2">
      <c r="A155" s="2" t="str">
        <f>IF($G155="","",IF(ISERROR(MATCH($N155,Lge_Scratch!$B:$B,0)),1,0))</f>
        <v/>
      </c>
      <c r="B155" s="2" t="str">
        <f>IF($G155="","",IF(AND(LEFT($Q155,8)="Non-aero",ISERROR(MATCH($N155,Lge_NonAero!$B:$B,0))),1,0))</f>
        <v/>
      </c>
      <c r="C155" s="5" t="str">
        <f>IF($G155="","",IF(AND(LEFT($O155,3)="Wom",ISERROR(MATCH($N155,Lge_Women!$B:$B,0))),1,0))</f>
        <v/>
      </c>
      <c r="D155" s="2" t="str">
        <f>IF($G155="","",IF(AND(OR($O155="Vet",$O155="Woman Vet"),ISERROR(MATCH($N155,Lge_Vets!$B:$B,0))),1,0))</f>
        <v/>
      </c>
      <c r="E155" s="2" t="str">
        <f>IF($G155="","",IF(AND(OR($O155="Junior",$O155="Woman Junior",$O155="Youth",$O155="Woman Youth"),ISERROR(MATCH($N155,Lge_Junior!$B:$B,0))),1,0))</f>
        <v/>
      </c>
      <c r="F155" s="2" t="str">
        <f>IF($G155="","",IF(AND(LEFT($O155,3)="You",ISERROR(MATCH($N155,Lge_Youth!$B:$B,0))),1,0))</f>
        <v/>
      </c>
      <c r="G155" s="3"/>
      <c r="H155" s="3"/>
      <c r="I155" s="3"/>
      <c r="J155" s="3"/>
      <c r="K155" s="6"/>
      <c r="L155" s="4"/>
      <c r="M155" s="4"/>
      <c r="N155" s="8"/>
      <c r="O155" s="8"/>
      <c r="P155" s="9"/>
      <c r="Q155" s="8"/>
      <c r="R155" s="8"/>
      <c r="S155" s="9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10"/>
    </row>
    <row r="156" spans="1:39" x14ac:dyDescent="0.2">
      <c r="A156" s="2" t="str">
        <f>IF($G156="","",IF(ISERROR(MATCH($N156,Lge_Scratch!$B:$B,0)),1,0))</f>
        <v/>
      </c>
      <c r="B156" s="2" t="str">
        <f>IF($G156="","",IF(AND(LEFT($Q156,8)="Non-aero",ISERROR(MATCH($N156,Lge_NonAero!$B:$B,0))),1,0))</f>
        <v/>
      </c>
      <c r="C156" s="5" t="str">
        <f>IF($G156="","",IF(AND(LEFT($O156,3)="Wom",ISERROR(MATCH($N156,Lge_Women!$B:$B,0))),1,0))</f>
        <v/>
      </c>
      <c r="D156" s="2" t="str">
        <f>IF($G156="","",IF(AND(OR($O156="Vet",$O156="Woman Vet"),ISERROR(MATCH($N156,Lge_Vets!$B:$B,0))),1,0))</f>
        <v/>
      </c>
      <c r="E156" s="2" t="str">
        <f>IF($G156="","",IF(AND(OR($O156="Junior",$O156="Woman Junior",$O156="Youth",$O156="Woman Youth"),ISERROR(MATCH($N156,Lge_Junior!$B:$B,0))),1,0))</f>
        <v/>
      </c>
      <c r="F156" s="2" t="str">
        <f>IF($G156="","",IF(AND(LEFT($O156,3)="You",ISERROR(MATCH($N156,Lge_Youth!$B:$B,0))),1,0))</f>
        <v/>
      </c>
      <c r="G156" s="3"/>
      <c r="H156" s="3"/>
      <c r="I156" s="3"/>
      <c r="J156" s="3"/>
      <c r="K156" s="6"/>
      <c r="L156" s="4"/>
      <c r="M156" s="4"/>
      <c r="N156" s="8"/>
      <c r="O156" s="8"/>
      <c r="P156" s="9"/>
      <c r="Q156" s="8"/>
      <c r="R156" s="8"/>
      <c r="S156" s="9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10"/>
    </row>
    <row r="157" spans="1:39" x14ac:dyDescent="0.2">
      <c r="A157" s="2" t="str">
        <f>IF($G157="","",IF(ISERROR(MATCH($N157,Lge_Scratch!$B:$B,0)),1,0))</f>
        <v/>
      </c>
      <c r="B157" s="2" t="str">
        <f>IF($G157="","",IF(AND(LEFT($Q157,8)="Non-aero",ISERROR(MATCH($N157,Lge_NonAero!$B:$B,0))),1,0))</f>
        <v/>
      </c>
      <c r="C157" s="5" t="str">
        <f>IF($G157="","",IF(AND(LEFT($O157,3)="Wom",ISERROR(MATCH($N157,Lge_Women!$B:$B,0))),1,0))</f>
        <v/>
      </c>
      <c r="D157" s="2" t="str">
        <f>IF($G157="","",IF(AND(OR($O157="Vet",$O157="Woman Vet"),ISERROR(MATCH($N157,Lge_Vets!$B:$B,0))),1,0))</f>
        <v/>
      </c>
      <c r="E157" s="2" t="str">
        <f>IF($G157="","",IF(AND(OR($O157="Junior",$O157="Woman Junior",$O157="Youth",$O157="Woman Youth"),ISERROR(MATCH($N157,Lge_Junior!$B:$B,0))),1,0))</f>
        <v/>
      </c>
      <c r="F157" s="2" t="str">
        <f>IF($G157="","",IF(AND(LEFT($O157,3)="You",ISERROR(MATCH($N157,Lge_Youth!$B:$B,0))),1,0))</f>
        <v/>
      </c>
      <c r="G157" s="3"/>
      <c r="H157" s="3"/>
      <c r="I157" s="3"/>
      <c r="J157" s="3"/>
      <c r="K157" s="6"/>
      <c r="L157" s="4"/>
      <c r="M157" s="4"/>
      <c r="N157" s="8"/>
      <c r="O157" s="8"/>
      <c r="P157" s="9"/>
      <c r="Q157" s="8"/>
      <c r="R157" s="8"/>
      <c r="S157" s="9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10"/>
    </row>
    <row r="158" spans="1:39" x14ac:dyDescent="0.2">
      <c r="A158" s="2" t="str">
        <f>IF($G158="","",IF(ISERROR(MATCH($N158,Lge_Scratch!$B:$B,0)),1,0))</f>
        <v/>
      </c>
      <c r="B158" s="2" t="str">
        <f>IF($G158="","",IF(AND(LEFT($Q158,8)="Non-aero",ISERROR(MATCH($N158,Lge_NonAero!$B:$B,0))),1,0))</f>
        <v/>
      </c>
      <c r="C158" s="5" t="str">
        <f>IF($G158="","",IF(AND(LEFT($O158,3)="Wom",ISERROR(MATCH($N158,Lge_Women!$B:$B,0))),1,0))</f>
        <v/>
      </c>
      <c r="D158" s="2" t="str">
        <f>IF($G158="","",IF(AND(OR($O158="Vet",$O158="Woman Vet"),ISERROR(MATCH($N158,Lge_Vets!$B:$B,0))),1,0))</f>
        <v/>
      </c>
      <c r="E158" s="2" t="str">
        <f>IF($G158="","",IF(AND(OR($O158="Junior",$O158="Woman Junior",$O158="Youth",$O158="Woman Youth"),ISERROR(MATCH($N158,Lge_Junior!$B:$B,0))),1,0))</f>
        <v/>
      </c>
      <c r="F158" s="2" t="str">
        <f>IF($G158="","",IF(AND(LEFT($O158,3)="You",ISERROR(MATCH($N158,Lge_Youth!$B:$B,0))),1,0))</f>
        <v/>
      </c>
      <c r="G158" s="3"/>
      <c r="H158" s="3"/>
      <c r="I158" s="3"/>
      <c r="J158" s="3"/>
      <c r="K158" s="6"/>
      <c r="L158" s="4"/>
      <c r="M158" s="4"/>
      <c r="N158" s="8"/>
      <c r="O158" s="8"/>
      <c r="P158" s="9"/>
      <c r="Q158" s="8"/>
      <c r="R158" s="8"/>
      <c r="S158" s="9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10"/>
    </row>
    <row r="159" spans="1:39" x14ac:dyDescent="0.2">
      <c r="A159" s="2" t="str">
        <f>IF($G159="","",IF(ISERROR(MATCH($N159,Lge_Scratch!$B:$B,0)),1,0))</f>
        <v/>
      </c>
      <c r="B159" s="2" t="str">
        <f>IF($G159="","",IF(AND(LEFT($Q159,8)="Non-aero",ISERROR(MATCH($N159,Lge_NonAero!$B:$B,0))),1,0))</f>
        <v/>
      </c>
      <c r="C159" s="5" t="str">
        <f>IF($G159="","",IF(AND(LEFT($O159,3)="Wom",ISERROR(MATCH($N159,Lge_Women!$B:$B,0))),1,0))</f>
        <v/>
      </c>
      <c r="D159" s="2" t="str">
        <f>IF($G159="","",IF(AND(OR($O159="Vet",$O159="Woman Vet"),ISERROR(MATCH($N159,Lge_Vets!$B:$B,0))),1,0))</f>
        <v/>
      </c>
      <c r="E159" s="2" t="str">
        <f>IF($G159="","",IF(AND(OR($O159="Junior",$O159="Woman Junior",$O159="Youth",$O159="Woman Youth"),ISERROR(MATCH($N159,Lge_Junior!$B:$B,0))),1,0))</f>
        <v/>
      </c>
      <c r="F159" s="2" t="str">
        <f>IF($G159="","",IF(AND(LEFT($O159,3)="You",ISERROR(MATCH($N159,Lge_Youth!$B:$B,0))),1,0))</f>
        <v/>
      </c>
      <c r="G159" s="3"/>
      <c r="H159" s="3"/>
      <c r="I159" s="3"/>
      <c r="J159" s="3"/>
      <c r="K159" s="6"/>
      <c r="L159" s="4"/>
      <c r="M159" s="4"/>
      <c r="N159" s="8"/>
      <c r="O159" s="8"/>
      <c r="P159" s="9"/>
      <c r="Q159" s="8"/>
      <c r="R159" s="8"/>
      <c r="S159" s="9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10"/>
    </row>
    <row r="160" spans="1:39" x14ac:dyDescent="0.2">
      <c r="A160" s="2" t="str">
        <f>IF($G160="","",IF(ISERROR(MATCH($N160,Lge_Scratch!$B:$B,0)),1,0))</f>
        <v/>
      </c>
      <c r="B160" s="2" t="str">
        <f>IF($G160="","",IF(AND(LEFT($Q160,8)="Non-aero",ISERROR(MATCH($N160,Lge_NonAero!$B:$B,0))),1,0))</f>
        <v/>
      </c>
      <c r="C160" s="5" t="str">
        <f>IF($G160="","",IF(AND(LEFT($O160,3)="Wom",ISERROR(MATCH($N160,Lge_Women!$B:$B,0))),1,0))</f>
        <v/>
      </c>
      <c r="D160" s="2" t="str">
        <f>IF($G160="","",IF(AND(OR($O160="Vet",$O160="Woman Vet"),ISERROR(MATCH($N160,Lge_Vets!$B:$B,0))),1,0))</f>
        <v/>
      </c>
      <c r="E160" s="2" t="str">
        <f>IF($G160="","",IF(AND(OR($O160="Junior",$O160="Woman Junior",$O160="Youth",$O160="Woman Youth"),ISERROR(MATCH($N160,Lge_Junior!$B:$B,0))),1,0))</f>
        <v/>
      </c>
      <c r="F160" s="2" t="str">
        <f>IF($G160="","",IF(AND(LEFT($O160,3)="You",ISERROR(MATCH($N160,Lge_Youth!$B:$B,0))),1,0))</f>
        <v/>
      </c>
      <c r="G160" s="3"/>
      <c r="H160" s="3"/>
      <c r="I160" s="3"/>
      <c r="J160" s="3"/>
      <c r="K160" s="6"/>
      <c r="L160" s="4"/>
      <c r="M160" s="4"/>
      <c r="N160" s="8"/>
      <c r="O160" s="8"/>
      <c r="P160" s="9"/>
      <c r="Q160" s="8"/>
      <c r="R160" s="8"/>
      <c r="S160" s="9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10"/>
    </row>
    <row r="161" spans="1:39" x14ac:dyDescent="0.2">
      <c r="A161" s="2" t="str">
        <f>IF($G161="","",IF(ISERROR(MATCH($N161,Lge_Scratch!$B:$B,0)),1,0))</f>
        <v/>
      </c>
      <c r="B161" s="2" t="str">
        <f>IF($G161="","",IF(AND(LEFT($Q161,8)="Non-aero",ISERROR(MATCH($N161,Lge_NonAero!$B:$B,0))),1,0))</f>
        <v/>
      </c>
      <c r="C161" s="5" t="str">
        <f>IF($G161="","",IF(AND(LEFT($O161,3)="Wom",ISERROR(MATCH($N161,Lge_Women!$B:$B,0))),1,0))</f>
        <v/>
      </c>
      <c r="D161" s="2" t="str">
        <f>IF($G161="","",IF(AND(OR($O161="Vet",$O161="Woman Vet"),ISERROR(MATCH($N161,Lge_Vets!$B:$B,0))),1,0))</f>
        <v/>
      </c>
      <c r="E161" s="2" t="str">
        <f>IF($G161="","",IF(AND(OR($O161="Junior",$O161="Woman Junior",$O161="Youth",$O161="Woman Youth"),ISERROR(MATCH($N161,Lge_Junior!$B:$B,0))),1,0))</f>
        <v/>
      </c>
      <c r="F161" s="2" t="str">
        <f>IF($G161="","",IF(AND(LEFT($O161,3)="You",ISERROR(MATCH($N161,Lge_Youth!$B:$B,0))),1,0))</f>
        <v/>
      </c>
      <c r="G161" s="3"/>
      <c r="H161" s="3"/>
      <c r="I161" s="3"/>
      <c r="J161" s="3"/>
      <c r="K161" s="6"/>
      <c r="L161" s="4"/>
      <c r="M161" s="4"/>
      <c r="N161" s="8"/>
      <c r="O161" s="8"/>
      <c r="P161" s="9"/>
      <c r="Q161" s="8"/>
      <c r="R161" s="8"/>
      <c r="S161" s="9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10"/>
    </row>
    <row r="162" spans="1:39" x14ac:dyDescent="0.2">
      <c r="A162" s="2" t="str">
        <f>IF($G162="","",IF(ISERROR(MATCH($N162,Lge_Scratch!$B:$B,0)),1,0))</f>
        <v/>
      </c>
      <c r="B162" s="2" t="str">
        <f>IF($G162="","",IF(AND(LEFT($Q162,8)="Non-aero",ISERROR(MATCH($N162,Lge_NonAero!$B:$B,0))),1,0))</f>
        <v/>
      </c>
      <c r="C162" s="5" t="str">
        <f>IF($G162="","",IF(AND(LEFT($O162,3)="Wom",ISERROR(MATCH($N162,Lge_Women!$B:$B,0))),1,0))</f>
        <v/>
      </c>
      <c r="D162" s="2" t="str">
        <f>IF($G162="","",IF(AND(OR($O162="Vet",$O162="Woman Vet"),ISERROR(MATCH($N162,Lge_Vets!$B:$B,0))),1,0))</f>
        <v/>
      </c>
      <c r="E162" s="2" t="str">
        <f>IF($G162="","",IF(AND(OR($O162="Junior",$O162="Woman Junior",$O162="Youth",$O162="Woman Youth"),ISERROR(MATCH($N162,Lge_Junior!$B:$B,0))),1,0))</f>
        <v/>
      </c>
      <c r="F162" s="2" t="str">
        <f>IF($G162="","",IF(AND(LEFT($O162,3)="You",ISERROR(MATCH($N162,Lge_Youth!$B:$B,0))),1,0))</f>
        <v/>
      </c>
      <c r="G162" s="3"/>
      <c r="H162" s="3"/>
      <c r="I162" s="3"/>
      <c r="J162" s="3"/>
      <c r="K162" s="6"/>
      <c r="L162" s="4"/>
      <c r="M162" s="4"/>
      <c r="N162" s="8"/>
      <c r="O162" s="8"/>
      <c r="P162" s="9"/>
      <c r="Q162" s="8"/>
      <c r="R162" s="8"/>
      <c r="S162" s="9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10"/>
    </row>
    <row r="163" spans="1:39" x14ac:dyDescent="0.2">
      <c r="A163" s="2" t="str">
        <f>IF($G163="","",IF(ISERROR(MATCH($N163,Lge_Scratch!$B:$B,0)),1,0))</f>
        <v/>
      </c>
      <c r="B163" s="2" t="str">
        <f>IF($G163="","",IF(AND(LEFT($Q163,8)="Non-aero",ISERROR(MATCH($N163,Lge_NonAero!$B:$B,0))),1,0))</f>
        <v/>
      </c>
      <c r="C163" s="5" t="str">
        <f>IF($G163="","",IF(AND(LEFT($O163,3)="Wom",ISERROR(MATCH($N163,Lge_Women!$B:$B,0))),1,0))</f>
        <v/>
      </c>
      <c r="D163" s="2" t="str">
        <f>IF($G163="","",IF(AND(OR($O163="Vet",$O163="Woman Vet"),ISERROR(MATCH($N163,Lge_Vets!$B:$B,0))),1,0))</f>
        <v/>
      </c>
      <c r="E163" s="2" t="str">
        <f>IF($G163="","",IF(AND(OR($O163="Junior",$O163="Woman Junior",$O163="Youth",$O163="Woman Youth"),ISERROR(MATCH($N163,Lge_Junior!$B:$B,0))),1,0))</f>
        <v/>
      </c>
      <c r="F163" s="2" t="str">
        <f>IF($G163="","",IF(AND(LEFT($O163,3)="You",ISERROR(MATCH($N163,Lge_Youth!$B:$B,0))),1,0))</f>
        <v/>
      </c>
      <c r="G163" s="3"/>
      <c r="H163" s="3"/>
      <c r="I163" s="3"/>
      <c r="J163" s="3"/>
      <c r="K163" s="6"/>
      <c r="L163" s="4"/>
      <c r="M163" s="4"/>
      <c r="N163" s="8"/>
      <c r="O163" s="8"/>
      <c r="P163" s="9"/>
      <c r="Q163" s="8"/>
      <c r="R163" s="8"/>
      <c r="S163" s="9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10"/>
    </row>
    <row r="164" spans="1:39" x14ac:dyDescent="0.2">
      <c r="A164" s="2" t="str">
        <f>IF($G164="","",IF(ISERROR(MATCH($N164,Lge_Scratch!$B:$B,0)),1,0))</f>
        <v/>
      </c>
      <c r="B164" s="2" t="str">
        <f>IF($G164="","",IF(AND(LEFT($Q164,8)="Non-aero",ISERROR(MATCH($N164,Lge_NonAero!$B:$B,0))),1,0))</f>
        <v/>
      </c>
      <c r="C164" s="5" t="str">
        <f>IF($G164="","",IF(AND(LEFT($O164,3)="Wom",ISERROR(MATCH($N164,Lge_Women!$B:$B,0))),1,0))</f>
        <v/>
      </c>
      <c r="D164" s="2" t="str">
        <f>IF($G164="","",IF(AND(OR($O164="Vet",$O164="Woman Vet"),ISERROR(MATCH($N164,Lge_Vets!$B:$B,0))),1,0))</f>
        <v/>
      </c>
      <c r="E164" s="2" t="str">
        <f>IF($G164="","",IF(AND(OR($O164="Junior",$O164="Woman Junior",$O164="Youth",$O164="Woman Youth"),ISERROR(MATCH($N164,Lge_Junior!$B:$B,0))),1,0))</f>
        <v/>
      </c>
      <c r="F164" s="2" t="str">
        <f>IF($G164="","",IF(AND(LEFT($O164,3)="You",ISERROR(MATCH($N164,Lge_Youth!$B:$B,0))),1,0))</f>
        <v/>
      </c>
      <c r="G164" s="3"/>
      <c r="H164" s="3"/>
      <c r="I164" s="3"/>
      <c r="J164" s="3"/>
      <c r="K164" s="6"/>
      <c r="L164" s="4"/>
      <c r="M164" s="4"/>
      <c r="N164" s="8"/>
      <c r="O164" s="8"/>
      <c r="P164" s="9"/>
      <c r="Q164" s="8"/>
      <c r="R164" s="8"/>
      <c r="S164" s="9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10"/>
    </row>
    <row r="165" spans="1:39" x14ac:dyDescent="0.2">
      <c r="A165" s="2" t="str">
        <f>IF($G165="","",IF(ISERROR(MATCH($N165,Lge_Scratch!$B:$B,0)),1,0))</f>
        <v/>
      </c>
      <c r="B165" s="2" t="str">
        <f>IF($G165="","",IF(AND(LEFT($Q165,8)="Non-aero",ISERROR(MATCH($N165,Lge_NonAero!$B:$B,0))),1,0))</f>
        <v/>
      </c>
      <c r="C165" s="5" t="str">
        <f>IF($G165="","",IF(AND(LEFT($O165,3)="Wom",ISERROR(MATCH($N165,Lge_Women!$B:$B,0))),1,0))</f>
        <v/>
      </c>
      <c r="D165" s="2" t="str">
        <f>IF($G165="","",IF(AND(OR($O165="Vet",$O165="Woman Vet"),ISERROR(MATCH($N165,Lge_Vets!$B:$B,0))),1,0))</f>
        <v/>
      </c>
      <c r="E165" s="2" t="str">
        <f>IF($G165="","",IF(AND(OR($O165="Junior",$O165="Woman Junior",$O165="Youth",$O165="Woman Youth"),ISERROR(MATCH($N165,Lge_Junior!$B:$B,0))),1,0))</f>
        <v/>
      </c>
      <c r="F165" s="2" t="str">
        <f>IF($G165="","",IF(AND(LEFT($O165,3)="You",ISERROR(MATCH($N165,Lge_Youth!$B:$B,0))),1,0))</f>
        <v/>
      </c>
      <c r="G165" s="3"/>
      <c r="H165" s="3"/>
      <c r="I165" s="3"/>
      <c r="J165" s="3"/>
      <c r="K165" s="6"/>
      <c r="L165" s="4"/>
      <c r="M165" s="4"/>
      <c r="N165" s="8"/>
      <c r="O165" s="8"/>
      <c r="P165" s="9"/>
      <c r="Q165" s="8"/>
      <c r="R165" s="8"/>
      <c r="S165" s="9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10"/>
    </row>
    <row r="166" spans="1:39" x14ac:dyDescent="0.2">
      <c r="A166" s="2" t="str">
        <f>IF($G166="","",IF(ISERROR(MATCH($N166,Lge_Scratch!$B:$B,0)),1,0))</f>
        <v/>
      </c>
      <c r="B166" s="2" t="str">
        <f>IF($G166="","",IF(AND(LEFT($Q166,8)="Non-aero",ISERROR(MATCH($N166,Lge_NonAero!$B:$B,0))),1,0))</f>
        <v/>
      </c>
      <c r="C166" s="5" t="str">
        <f>IF($G166="","",IF(AND(LEFT($O166,3)="Wom",ISERROR(MATCH($N166,Lge_Women!$B:$B,0))),1,0))</f>
        <v/>
      </c>
      <c r="D166" s="2" t="str">
        <f>IF($G166="","",IF(AND(OR($O166="Vet",$O166="Woman Vet"),ISERROR(MATCH($N166,Lge_Vets!$B:$B,0))),1,0))</f>
        <v/>
      </c>
      <c r="E166" s="2" t="str">
        <f>IF($G166="","",IF(AND(OR($O166="Junior",$O166="Woman Junior",$O166="Youth",$O166="Woman Youth"),ISERROR(MATCH($N166,Lge_Junior!$B:$B,0))),1,0))</f>
        <v/>
      </c>
      <c r="F166" s="2" t="str">
        <f>IF($G166="","",IF(AND(LEFT($O166,3)="You",ISERROR(MATCH($N166,Lge_Youth!$B:$B,0))),1,0))</f>
        <v/>
      </c>
      <c r="G166" s="3"/>
      <c r="H166" s="3"/>
      <c r="I166" s="3"/>
      <c r="J166" s="3"/>
      <c r="K166" s="6"/>
      <c r="L166" s="4"/>
      <c r="M166" s="4"/>
      <c r="N166" s="8"/>
      <c r="O166" s="8"/>
      <c r="P166" s="9"/>
      <c r="Q166" s="8"/>
      <c r="R166" s="8"/>
      <c r="S166" s="9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10"/>
    </row>
    <row r="167" spans="1:39" x14ac:dyDescent="0.2">
      <c r="A167" s="2" t="str">
        <f>IF($G167="","",IF(ISERROR(MATCH($N167,Lge_Scratch!$B:$B,0)),1,0))</f>
        <v/>
      </c>
      <c r="B167" s="2" t="str">
        <f>IF($G167="","",IF(AND(LEFT($Q167,8)="Non-aero",ISERROR(MATCH($N167,Lge_NonAero!$B:$B,0))),1,0))</f>
        <v/>
      </c>
      <c r="C167" s="5" t="str">
        <f>IF($G167="","",IF(AND(LEFT($O167,3)="Wom",ISERROR(MATCH($N167,Lge_Women!$B:$B,0))),1,0))</f>
        <v/>
      </c>
      <c r="D167" s="2" t="str">
        <f>IF($G167="","",IF(AND(OR($O167="Vet",$O167="Woman Vet"),ISERROR(MATCH($N167,Lge_Vets!$B:$B,0))),1,0))</f>
        <v/>
      </c>
      <c r="E167" s="2" t="str">
        <f>IF($G167="","",IF(AND(OR($O167="Junior",$O167="Woman Junior",$O167="Youth",$O167="Woman Youth"),ISERROR(MATCH($N167,Lge_Junior!$B:$B,0))),1,0))</f>
        <v/>
      </c>
      <c r="F167" s="2" t="str">
        <f>IF($G167="","",IF(AND(LEFT($O167,3)="You",ISERROR(MATCH($N167,Lge_Youth!$B:$B,0))),1,0))</f>
        <v/>
      </c>
      <c r="G167" s="3"/>
      <c r="H167" s="3"/>
      <c r="I167" s="3"/>
      <c r="J167" s="3"/>
      <c r="K167" s="6"/>
      <c r="L167" s="4"/>
      <c r="M167" s="4"/>
      <c r="N167" s="8"/>
      <c r="O167" s="8"/>
      <c r="P167" s="9"/>
      <c r="Q167" s="8"/>
      <c r="R167" s="8"/>
      <c r="S167" s="9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10"/>
    </row>
    <row r="168" spans="1:39" x14ac:dyDescent="0.2">
      <c r="A168" s="2" t="str">
        <f>IF($G168="","",IF(ISERROR(MATCH($N168,Lge_Scratch!$B:$B,0)),1,0))</f>
        <v/>
      </c>
      <c r="B168" s="2" t="str">
        <f>IF($G168="","",IF(AND(LEFT($Q168,8)="Non-aero",ISERROR(MATCH($N168,Lge_NonAero!$B:$B,0))),1,0))</f>
        <v/>
      </c>
      <c r="C168" s="5" t="str">
        <f>IF($G168="","",IF(AND(LEFT($O168,3)="Wom",ISERROR(MATCH($N168,Lge_Women!$B:$B,0))),1,0))</f>
        <v/>
      </c>
      <c r="D168" s="2" t="str">
        <f>IF($G168="","",IF(AND(OR($O168="Vet",$O168="Woman Vet"),ISERROR(MATCH($N168,Lge_Vets!$B:$B,0))),1,0))</f>
        <v/>
      </c>
      <c r="E168" s="2" t="str">
        <f>IF($G168="","",IF(AND(OR($O168="Junior",$O168="Woman Junior",$O168="Youth",$O168="Woman Youth"),ISERROR(MATCH($N168,Lge_Junior!$B:$B,0))),1,0))</f>
        <v/>
      </c>
      <c r="F168" s="2" t="str">
        <f>IF($G168="","",IF(AND(LEFT($O168,3)="You",ISERROR(MATCH($N168,Lge_Youth!$B:$B,0))),1,0))</f>
        <v/>
      </c>
      <c r="G168" s="3"/>
      <c r="H168" s="3"/>
      <c r="I168" s="3"/>
      <c r="J168" s="3"/>
      <c r="K168" s="6"/>
      <c r="L168" s="4"/>
      <c r="M168" s="4"/>
      <c r="N168" s="8"/>
      <c r="O168" s="8"/>
      <c r="P168" s="9"/>
      <c r="Q168" s="8"/>
      <c r="R168" s="8"/>
      <c r="S168" s="9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10"/>
    </row>
    <row r="169" spans="1:39" x14ac:dyDescent="0.2">
      <c r="A169" s="2" t="str">
        <f>IF($G169="","",IF(ISERROR(MATCH($N169,Lge_Scratch!$B:$B,0)),1,0))</f>
        <v/>
      </c>
      <c r="B169" s="2" t="str">
        <f>IF($G169="","",IF(AND(LEFT($Q169,8)="Non-aero",ISERROR(MATCH($N169,Lge_NonAero!$B:$B,0))),1,0))</f>
        <v/>
      </c>
      <c r="C169" s="5" t="str">
        <f>IF($G169="","",IF(AND(LEFT($O169,3)="Wom",ISERROR(MATCH($N169,Lge_Women!$B:$B,0))),1,0))</f>
        <v/>
      </c>
      <c r="D169" s="2" t="str">
        <f>IF($G169="","",IF(AND(OR($O169="Vet",$O169="Woman Vet"),ISERROR(MATCH($N169,Lge_Vets!$B:$B,0))),1,0))</f>
        <v/>
      </c>
      <c r="E169" s="2" t="str">
        <f>IF($G169="","",IF(AND(OR($O169="Junior",$O169="Woman Junior",$O169="Youth",$O169="Woman Youth"),ISERROR(MATCH($N169,Lge_Junior!$B:$B,0))),1,0))</f>
        <v/>
      </c>
      <c r="F169" s="2" t="str">
        <f>IF($G169="","",IF(AND(LEFT($O169,3)="You",ISERROR(MATCH($N169,Lge_Youth!$B:$B,0))),1,0))</f>
        <v/>
      </c>
      <c r="G169" s="3"/>
      <c r="H169" s="3"/>
      <c r="I169" s="3"/>
      <c r="J169" s="3"/>
      <c r="K169" s="6"/>
      <c r="L169" s="4"/>
      <c r="M169" s="4"/>
      <c r="N169" s="8"/>
      <c r="O169" s="8"/>
      <c r="P169" s="9"/>
      <c r="Q169" s="8"/>
      <c r="R169" s="8"/>
      <c r="S169" s="9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10"/>
    </row>
    <row r="170" spans="1:39" x14ac:dyDescent="0.2">
      <c r="A170" s="2" t="str">
        <f>IF($G170="","",IF(ISERROR(MATCH($N170,Lge_Scratch!$B:$B,0)),1,0))</f>
        <v/>
      </c>
      <c r="B170" s="2" t="str">
        <f>IF($G170="","",IF(AND(LEFT($Q170,8)="Non-aero",ISERROR(MATCH($N170,Lge_NonAero!$B:$B,0))),1,0))</f>
        <v/>
      </c>
      <c r="C170" s="5" t="str">
        <f>IF($G170="","",IF(AND(LEFT($O170,3)="Wom",ISERROR(MATCH($N170,Lge_Women!$B:$B,0))),1,0))</f>
        <v/>
      </c>
      <c r="D170" s="2" t="str">
        <f>IF($G170="","",IF(AND(OR($O170="Vet",$O170="Woman Vet"),ISERROR(MATCH($N170,Lge_Vets!$B:$B,0))),1,0))</f>
        <v/>
      </c>
      <c r="E170" s="2" t="str">
        <f>IF($G170="","",IF(AND(OR($O170="Junior",$O170="Woman Junior",$O170="Youth",$O170="Woman Youth"),ISERROR(MATCH($N170,Lge_Junior!$B:$B,0))),1,0))</f>
        <v/>
      </c>
      <c r="F170" s="2" t="str">
        <f>IF($G170="","",IF(AND(LEFT($O170,3)="You",ISERROR(MATCH($N170,Lge_Youth!$B:$B,0))),1,0))</f>
        <v/>
      </c>
      <c r="G170" s="3"/>
      <c r="H170" s="3"/>
      <c r="I170" s="3"/>
      <c r="J170" s="3"/>
      <c r="K170" s="6"/>
      <c r="L170" s="4"/>
      <c r="M170" s="4"/>
      <c r="N170" s="8"/>
      <c r="O170" s="8"/>
      <c r="P170" s="9"/>
      <c r="Q170" s="8"/>
      <c r="R170" s="8"/>
      <c r="S170" s="9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10"/>
    </row>
    <row r="171" spans="1:39" x14ac:dyDescent="0.2">
      <c r="A171" s="2" t="str">
        <f>IF($G171="","",IF(ISERROR(MATCH($N171,Lge_Scratch!$B:$B,0)),1,0))</f>
        <v/>
      </c>
      <c r="B171" s="2" t="str">
        <f>IF($G171="","",IF(AND(LEFT($Q171,8)="Non-aero",ISERROR(MATCH($N171,Lge_NonAero!$B:$B,0))),1,0))</f>
        <v/>
      </c>
      <c r="C171" s="5" t="str">
        <f>IF($G171="","",IF(AND(LEFT($O171,3)="Wom",ISERROR(MATCH($N171,Lge_Women!$B:$B,0))),1,0))</f>
        <v/>
      </c>
      <c r="D171" s="2" t="str">
        <f>IF($G171="","",IF(AND(OR($O171="Vet",$O171="Woman Vet"),ISERROR(MATCH($N171,Lge_Vets!$B:$B,0))),1,0))</f>
        <v/>
      </c>
      <c r="E171" s="2" t="str">
        <f>IF($G171="","",IF(AND(OR($O171="Junior",$O171="Woman Junior",$O171="Youth",$O171="Woman Youth"),ISERROR(MATCH($N171,Lge_Junior!$B:$B,0))),1,0))</f>
        <v/>
      </c>
      <c r="F171" s="2" t="str">
        <f>IF($G171="","",IF(AND(LEFT($O171,3)="You",ISERROR(MATCH($N171,Lge_Youth!$B:$B,0))),1,0))</f>
        <v/>
      </c>
      <c r="G171" s="3"/>
      <c r="H171" s="3"/>
      <c r="I171" s="3"/>
      <c r="J171" s="3"/>
      <c r="K171" s="6"/>
      <c r="L171" s="4"/>
      <c r="M171" s="4"/>
      <c r="N171" s="8"/>
      <c r="O171" s="8"/>
      <c r="P171" s="9"/>
      <c r="Q171" s="8"/>
      <c r="R171" s="8"/>
      <c r="S171" s="9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10"/>
    </row>
    <row r="172" spans="1:39" x14ac:dyDescent="0.2">
      <c r="A172" s="2" t="str">
        <f>IF($G172="","",IF(ISERROR(MATCH($N172,Lge_Scratch!$B:$B,0)),1,0))</f>
        <v/>
      </c>
      <c r="B172" s="2" t="str">
        <f>IF($G172="","",IF(AND(LEFT($Q172,8)="Non-aero",ISERROR(MATCH($N172,Lge_NonAero!$B:$B,0))),1,0))</f>
        <v/>
      </c>
      <c r="C172" s="5" t="str">
        <f>IF($G172="","",IF(AND(LEFT($O172,3)="Wom",ISERROR(MATCH($N172,Lge_Women!$B:$B,0))),1,0))</f>
        <v/>
      </c>
      <c r="D172" s="2" t="str">
        <f>IF($G172="","",IF(AND(OR($O172="Vet",$O172="Woman Vet"),ISERROR(MATCH($N172,Lge_Vets!$B:$B,0))),1,0))</f>
        <v/>
      </c>
      <c r="E172" s="2" t="str">
        <f>IF($G172="","",IF(AND(OR($O172="Junior",$O172="Woman Junior",$O172="Youth",$O172="Woman Youth"),ISERROR(MATCH($N172,Lge_Junior!$B:$B,0))),1,0))</f>
        <v/>
      </c>
      <c r="F172" s="2" t="str">
        <f>IF($G172="","",IF(AND(LEFT($O172,3)="You",ISERROR(MATCH($N172,Lge_Youth!$B:$B,0))),1,0))</f>
        <v/>
      </c>
      <c r="G172" s="3"/>
      <c r="H172" s="3"/>
      <c r="I172" s="3"/>
      <c r="J172" s="3"/>
      <c r="K172" s="6"/>
      <c r="L172" s="4"/>
      <c r="M172" s="4"/>
      <c r="N172" s="8"/>
      <c r="O172" s="8"/>
      <c r="P172" s="9"/>
      <c r="Q172" s="8"/>
      <c r="R172" s="8"/>
      <c r="S172" s="9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10"/>
    </row>
    <row r="173" spans="1:39" x14ac:dyDescent="0.2">
      <c r="A173" s="2" t="str">
        <f>IF($G173="","",IF(ISERROR(MATCH($N173,Lge_Scratch!$B:$B,0)),1,0))</f>
        <v/>
      </c>
      <c r="B173" s="2" t="str">
        <f>IF($G173="","",IF(AND(LEFT($Q173,8)="Non-aero",ISERROR(MATCH($N173,Lge_NonAero!$B:$B,0))),1,0))</f>
        <v/>
      </c>
      <c r="C173" s="5" t="str">
        <f>IF($G173="","",IF(AND(LEFT($O173,3)="Wom",ISERROR(MATCH($N173,Lge_Women!$B:$B,0))),1,0))</f>
        <v/>
      </c>
      <c r="D173" s="2" t="str">
        <f>IF($G173="","",IF(AND(OR($O173="Vet",$O173="Woman Vet"),ISERROR(MATCH($N173,Lge_Vets!$B:$B,0))),1,0))</f>
        <v/>
      </c>
      <c r="E173" s="2" t="str">
        <f>IF($G173="","",IF(AND(OR($O173="Junior",$O173="Woman Junior",$O173="Youth",$O173="Woman Youth"),ISERROR(MATCH($N173,Lge_Junior!$B:$B,0))),1,0))</f>
        <v/>
      </c>
      <c r="F173" s="2" t="str">
        <f>IF($G173="","",IF(AND(LEFT($O173,3)="You",ISERROR(MATCH($N173,Lge_Youth!$B:$B,0))),1,0))</f>
        <v/>
      </c>
      <c r="G173" s="3"/>
      <c r="H173" s="3"/>
      <c r="I173" s="3"/>
      <c r="J173" s="3"/>
      <c r="K173" s="6"/>
      <c r="L173" s="4"/>
      <c r="M173" s="4"/>
      <c r="N173" s="8"/>
      <c r="O173" s="8"/>
      <c r="P173" s="9"/>
      <c r="Q173" s="8"/>
      <c r="R173" s="8"/>
      <c r="S173" s="9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10"/>
    </row>
    <row r="174" spans="1:39" x14ac:dyDescent="0.2">
      <c r="A174" s="2" t="str">
        <f>IF($G174="","",IF(ISERROR(MATCH($N174,Lge_Scratch!$B:$B,0)),1,0))</f>
        <v/>
      </c>
      <c r="B174" s="2" t="str">
        <f>IF($G174="","",IF(AND(LEFT($Q174,8)="Non-aero",ISERROR(MATCH($N174,Lge_NonAero!$B:$B,0))),1,0))</f>
        <v/>
      </c>
      <c r="C174" s="5" t="str">
        <f>IF($G174="","",IF(AND(LEFT($O174,3)="Wom",ISERROR(MATCH($N174,Lge_Women!$B:$B,0))),1,0))</f>
        <v/>
      </c>
      <c r="D174" s="2" t="str">
        <f>IF($G174="","",IF(AND(OR($O174="Vet",$O174="Woman Vet"),ISERROR(MATCH($N174,Lge_Vets!$B:$B,0))),1,0))</f>
        <v/>
      </c>
      <c r="E174" s="2" t="str">
        <f>IF($G174="","",IF(AND(OR($O174="Junior",$O174="Woman Junior",$O174="Youth",$O174="Woman Youth"),ISERROR(MATCH($N174,Lge_Junior!$B:$B,0))),1,0))</f>
        <v/>
      </c>
      <c r="F174" s="2" t="str">
        <f>IF($G174="","",IF(AND(LEFT($O174,3)="You",ISERROR(MATCH($N174,Lge_Youth!$B:$B,0))),1,0))</f>
        <v/>
      </c>
      <c r="G174" s="3"/>
      <c r="H174" s="3"/>
      <c r="I174" s="3"/>
      <c r="J174" s="3"/>
      <c r="K174" s="6"/>
      <c r="L174" s="4"/>
      <c r="M174" s="4"/>
      <c r="N174" s="8"/>
      <c r="O174" s="8"/>
      <c r="P174" s="9"/>
      <c r="Q174" s="8"/>
      <c r="R174" s="8"/>
      <c r="S174" s="9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10"/>
    </row>
    <row r="175" spans="1:39" x14ac:dyDescent="0.2">
      <c r="A175" s="2" t="str">
        <f>IF($G175="","",IF(ISERROR(MATCH($N175,Lge_Scratch!$B:$B,0)),1,0))</f>
        <v/>
      </c>
      <c r="B175" s="2" t="str">
        <f>IF($G175="","",IF(AND(LEFT($Q175,8)="Non-aero",ISERROR(MATCH($N175,Lge_NonAero!$B:$B,0))),1,0))</f>
        <v/>
      </c>
      <c r="C175" s="5" t="str">
        <f>IF($G175="","",IF(AND(LEFT($O175,3)="Wom",ISERROR(MATCH($N175,Lge_Women!$B:$B,0))),1,0))</f>
        <v/>
      </c>
      <c r="D175" s="2" t="str">
        <f>IF($G175="","",IF(AND(OR($O175="Vet",$O175="Woman Vet"),ISERROR(MATCH($N175,Lge_Vets!$B:$B,0))),1,0))</f>
        <v/>
      </c>
      <c r="E175" s="2" t="str">
        <f>IF($G175="","",IF(AND(OR($O175="Junior",$O175="Woman Junior",$O175="Youth",$O175="Woman Youth"),ISERROR(MATCH($N175,Lge_Junior!$B:$B,0))),1,0))</f>
        <v/>
      </c>
      <c r="F175" s="2" t="str">
        <f>IF($G175="","",IF(AND(LEFT($O175,3)="You",ISERROR(MATCH($N175,Lge_Youth!$B:$B,0))),1,0))</f>
        <v/>
      </c>
      <c r="G175" s="3"/>
      <c r="H175" s="3"/>
      <c r="I175" s="3"/>
      <c r="J175" s="3"/>
      <c r="K175" s="6"/>
      <c r="L175" s="4"/>
      <c r="M175" s="4"/>
      <c r="N175" s="8"/>
      <c r="O175" s="8"/>
      <c r="P175" s="9"/>
      <c r="Q175" s="8"/>
      <c r="R175" s="8"/>
      <c r="S175" s="9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10"/>
    </row>
    <row r="176" spans="1:39" x14ac:dyDescent="0.2">
      <c r="A176" s="2" t="str">
        <f>IF($G176="","",IF(ISERROR(MATCH($N176,Lge_Scratch!$B:$B,0)),1,0))</f>
        <v/>
      </c>
      <c r="B176" s="2" t="str">
        <f>IF($G176="","",IF(AND(LEFT($Q176,8)="Non-aero",ISERROR(MATCH($N176,Lge_NonAero!$B:$B,0))),1,0))</f>
        <v/>
      </c>
      <c r="C176" s="5" t="str">
        <f>IF($G176="","",IF(AND(LEFT($O176,3)="Wom",ISERROR(MATCH($N176,Lge_Women!$B:$B,0))),1,0))</f>
        <v/>
      </c>
      <c r="D176" s="2" t="str">
        <f>IF($G176="","",IF(AND(OR($O176="Vet",$O176="Woman Vet"),ISERROR(MATCH($N176,Lge_Vets!$B:$B,0))),1,0))</f>
        <v/>
      </c>
      <c r="E176" s="2" t="str">
        <f>IF($G176="","",IF(AND(OR($O176="Junior",$O176="Woman Junior",$O176="Youth",$O176="Woman Youth"),ISERROR(MATCH($N176,Lge_Junior!$B:$B,0))),1,0))</f>
        <v/>
      </c>
      <c r="F176" s="2" t="str">
        <f>IF($G176="","",IF(AND(LEFT($O176,3)="You",ISERROR(MATCH($N176,Lge_Youth!$B:$B,0))),1,0))</f>
        <v/>
      </c>
      <c r="G176" s="3"/>
      <c r="H176" s="3"/>
      <c r="I176" s="3"/>
      <c r="J176" s="3"/>
      <c r="K176" s="6"/>
      <c r="L176" s="4"/>
      <c r="M176" s="4"/>
      <c r="N176" s="8"/>
      <c r="O176" s="8"/>
      <c r="P176" s="9"/>
      <c r="Q176" s="8"/>
      <c r="R176" s="8"/>
      <c r="S176" s="9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10"/>
    </row>
    <row r="177" spans="1:39" x14ac:dyDescent="0.2">
      <c r="A177" s="2" t="str">
        <f>IF($G177="","",IF(ISERROR(MATCH($N177,Lge_Scratch!$B:$B,0)),1,0))</f>
        <v/>
      </c>
      <c r="B177" s="2" t="str">
        <f>IF($G177="","",IF(AND(LEFT($Q177,8)="Non-aero",ISERROR(MATCH($N177,Lge_NonAero!$B:$B,0))),1,0))</f>
        <v/>
      </c>
      <c r="C177" s="5" t="str">
        <f>IF($G177="","",IF(AND(LEFT($O177,3)="Wom",ISERROR(MATCH($N177,Lge_Women!$B:$B,0))),1,0))</f>
        <v/>
      </c>
      <c r="D177" s="2" t="str">
        <f>IF($G177="","",IF(AND(OR($O177="Vet",$O177="Woman Vet"),ISERROR(MATCH($N177,Lge_Vets!$B:$B,0))),1,0))</f>
        <v/>
      </c>
      <c r="E177" s="2" t="str">
        <f>IF($G177="","",IF(AND(OR($O177="Junior",$O177="Woman Junior",$O177="Youth",$O177="Woman Youth"),ISERROR(MATCH($N177,Lge_Junior!$B:$B,0))),1,0))</f>
        <v/>
      </c>
      <c r="F177" s="2" t="str">
        <f>IF($G177="","",IF(AND(LEFT($O177,3)="You",ISERROR(MATCH($N177,Lge_Youth!$B:$B,0))),1,0))</f>
        <v/>
      </c>
      <c r="G177" s="3"/>
      <c r="H177" s="3"/>
      <c r="I177" s="3"/>
      <c r="J177" s="3"/>
      <c r="K177" s="6"/>
      <c r="L177" s="4"/>
      <c r="M177" s="4"/>
      <c r="N177" s="8"/>
      <c r="O177" s="8"/>
      <c r="P177" s="9"/>
      <c r="Q177" s="8"/>
      <c r="R177" s="8"/>
      <c r="S177" s="9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10"/>
    </row>
    <row r="178" spans="1:39" x14ac:dyDescent="0.2">
      <c r="A178" s="2" t="str">
        <f>IF($G178="","",IF(ISERROR(MATCH($N178,Lge_Scratch!$B:$B,0)),1,0))</f>
        <v/>
      </c>
      <c r="B178" s="2" t="str">
        <f>IF($G178="","",IF(AND(LEFT($Q178,8)="Non-aero",ISERROR(MATCH($N178,Lge_NonAero!$B:$B,0))),1,0))</f>
        <v/>
      </c>
      <c r="C178" s="5" t="str">
        <f>IF($G178="","",IF(AND(LEFT($O178,3)="Wom",ISERROR(MATCH($N178,Lge_Women!$B:$B,0))),1,0))</f>
        <v/>
      </c>
      <c r="D178" s="2" t="str">
        <f>IF($G178="","",IF(AND(OR($O178="Vet",$O178="Woman Vet"),ISERROR(MATCH($N178,Lge_Vets!$B:$B,0))),1,0))</f>
        <v/>
      </c>
      <c r="E178" s="2" t="str">
        <f>IF($G178="","",IF(AND(OR($O178="Junior",$O178="Woman Junior",$O178="Youth",$O178="Woman Youth"),ISERROR(MATCH($N178,Lge_Junior!$B:$B,0))),1,0))</f>
        <v/>
      </c>
      <c r="F178" s="2" t="str">
        <f>IF($G178="","",IF(AND(LEFT($O178,3)="You",ISERROR(MATCH($N178,Lge_Youth!$B:$B,0))),1,0))</f>
        <v/>
      </c>
      <c r="G178" s="3"/>
      <c r="H178" s="3"/>
      <c r="I178" s="3"/>
      <c r="J178" s="3"/>
      <c r="K178" s="6"/>
      <c r="L178" s="4"/>
      <c r="M178" s="4"/>
      <c r="N178" s="8"/>
      <c r="O178" s="8"/>
      <c r="P178" s="9"/>
      <c r="Q178" s="8"/>
      <c r="R178" s="8"/>
      <c r="S178" s="9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10"/>
    </row>
    <row r="179" spans="1:39" x14ac:dyDescent="0.2">
      <c r="A179" s="2" t="str">
        <f>IF($G179="","",IF(ISERROR(MATCH($N179,Lge_Scratch!$B:$B,0)),1,0))</f>
        <v/>
      </c>
      <c r="B179" s="2" t="str">
        <f>IF($G179="","",IF(AND(LEFT($Q179,8)="Non-aero",ISERROR(MATCH($N179,Lge_NonAero!$B:$B,0))),1,0))</f>
        <v/>
      </c>
      <c r="C179" s="5" t="str">
        <f>IF($G179="","",IF(AND(LEFT($O179,3)="Wom",ISERROR(MATCH($N179,Lge_Women!$B:$B,0))),1,0))</f>
        <v/>
      </c>
      <c r="D179" s="2" t="str">
        <f>IF($G179="","",IF(AND(OR($O179="Vet",$O179="Woman Vet"),ISERROR(MATCH($N179,Lge_Vets!$B:$B,0))),1,0))</f>
        <v/>
      </c>
      <c r="E179" s="2" t="str">
        <f>IF($G179="","",IF(AND(OR($O179="Junior",$O179="Woman Junior",$O179="Youth",$O179="Woman Youth"),ISERROR(MATCH($N179,Lge_Junior!$B:$B,0))),1,0))</f>
        <v/>
      </c>
      <c r="F179" s="2" t="str">
        <f>IF($G179="","",IF(AND(LEFT($O179,3)="You",ISERROR(MATCH($N179,Lge_Youth!$B:$B,0))),1,0))</f>
        <v/>
      </c>
      <c r="G179" s="3"/>
      <c r="H179" s="3"/>
      <c r="I179" s="3"/>
      <c r="J179" s="3"/>
      <c r="K179" s="6"/>
      <c r="L179" s="4"/>
      <c r="M179" s="4"/>
      <c r="N179" s="8"/>
      <c r="O179" s="8"/>
      <c r="P179" s="9"/>
      <c r="Q179" s="8"/>
      <c r="R179" s="8"/>
      <c r="S179" s="9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10"/>
    </row>
    <row r="180" spans="1:39" x14ac:dyDescent="0.2">
      <c r="A180" s="2" t="str">
        <f>IF($G180="","",IF(ISERROR(MATCH($N180,Lge_Scratch!$B:$B,0)),1,0))</f>
        <v/>
      </c>
      <c r="B180" s="2" t="str">
        <f>IF($G180="","",IF(AND(LEFT($Q180,8)="Non-aero",ISERROR(MATCH($N180,Lge_NonAero!$B:$B,0))),1,0))</f>
        <v/>
      </c>
      <c r="C180" s="5" t="str">
        <f>IF($G180="","",IF(AND(LEFT($O180,3)="Wom",ISERROR(MATCH($N180,Lge_Women!$B:$B,0))),1,0))</f>
        <v/>
      </c>
      <c r="D180" s="2" t="str">
        <f>IF($G180="","",IF(AND(OR($O180="Vet",$O180="Woman Vet"),ISERROR(MATCH($N180,Lge_Vets!$B:$B,0))),1,0))</f>
        <v/>
      </c>
      <c r="E180" s="2" t="str">
        <f>IF($G180="","",IF(AND(OR($O180="Junior",$O180="Woman Junior",$O180="Youth",$O180="Woman Youth"),ISERROR(MATCH($N180,Lge_Junior!$B:$B,0))),1,0))</f>
        <v/>
      </c>
      <c r="F180" s="2" t="str">
        <f>IF($G180="","",IF(AND(LEFT($O180,3)="You",ISERROR(MATCH($N180,Lge_Youth!$B:$B,0))),1,0))</f>
        <v/>
      </c>
      <c r="G180" s="3"/>
      <c r="H180" s="3"/>
      <c r="I180" s="3"/>
      <c r="J180" s="3"/>
      <c r="K180" s="6"/>
      <c r="L180" s="4"/>
      <c r="M180" s="4"/>
      <c r="N180" s="8"/>
      <c r="O180" s="8"/>
      <c r="P180" s="9"/>
      <c r="Q180" s="8"/>
      <c r="R180" s="8"/>
      <c r="S180" s="9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10"/>
    </row>
    <row r="181" spans="1:39" x14ac:dyDescent="0.2">
      <c r="A181" s="2" t="str">
        <f>IF($G181="","",IF(ISERROR(MATCH($N181,Lge_Scratch!$B:$B,0)),1,0))</f>
        <v/>
      </c>
      <c r="B181" s="2" t="str">
        <f>IF($G181="","",IF(AND(LEFT($Q181,8)="Non-aero",ISERROR(MATCH($N181,Lge_NonAero!$B:$B,0))),1,0))</f>
        <v/>
      </c>
      <c r="C181" s="5" t="str">
        <f>IF($G181="","",IF(AND(LEFT($O181,3)="Wom",ISERROR(MATCH($N181,Lge_Women!$B:$B,0))),1,0))</f>
        <v/>
      </c>
      <c r="D181" s="2" t="str">
        <f>IF($G181="","",IF(AND(OR($O181="Vet",$O181="Woman Vet"),ISERROR(MATCH($N181,Lge_Vets!$B:$B,0))),1,0))</f>
        <v/>
      </c>
      <c r="E181" s="2" t="str">
        <f>IF($G181="","",IF(AND(OR($O181="Junior",$O181="Woman Junior",$O181="Youth",$O181="Woman Youth"),ISERROR(MATCH($N181,Lge_Junior!$B:$B,0))),1,0))</f>
        <v/>
      </c>
      <c r="F181" s="2" t="str">
        <f>IF($G181="","",IF(AND(LEFT($O181,3)="You",ISERROR(MATCH($N181,Lge_Youth!$B:$B,0))),1,0))</f>
        <v/>
      </c>
      <c r="G181" s="3"/>
      <c r="H181" s="3"/>
      <c r="I181" s="3"/>
      <c r="J181" s="3"/>
      <c r="K181" s="6"/>
      <c r="L181" s="4"/>
      <c r="M181" s="4"/>
      <c r="N181" s="8"/>
      <c r="O181" s="8"/>
      <c r="P181" s="9"/>
      <c r="Q181" s="8"/>
      <c r="R181" s="8"/>
      <c r="S181" s="9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10"/>
    </row>
    <row r="182" spans="1:39" x14ac:dyDescent="0.2">
      <c r="A182" s="2" t="str">
        <f>IF($G182="","",IF(ISERROR(MATCH($N182,Lge_Scratch!$B:$B,0)),1,0))</f>
        <v/>
      </c>
      <c r="B182" s="2" t="str">
        <f>IF($G182="","",IF(AND(LEFT($Q182,8)="Non-aero",ISERROR(MATCH($N182,Lge_NonAero!$B:$B,0))),1,0))</f>
        <v/>
      </c>
      <c r="C182" s="5" t="str">
        <f>IF($G182="","",IF(AND(LEFT($O182,3)="Wom",ISERROR(MATCH($N182,Lge_Women!$B:$B,0))),1,0))</f>
        <v/>
      </c>
      <c r="D182" s="2" t="str">
        <f>IF($G182="","",IF(AND(OR($O182="Vet",$O182="Woman Vet"),ISERROR(MATCH($N182,Lge_Vets!$B:$B,0))),1,0))</f>
        <v/>
      </c>
      <c r="E182" s="2" t="str">
        <f>IF($G182="","",IF(AND(OR($O182="Junior",$O182="Woman Junior",$O182="Youth",$O182="Woman Youth"),ISERROR(MATCH($N182,Lge_Junior!$B:$B,0))),1,0))</f>
        <v/>
      </c>
      <c r="F182" s="2" t="str">
        <f>IF($G182="","",IF(AND(LEFT($O182,3)="You",ISERROR(MATCH($N182,Lge_Youth!$B:$B,0))),1,0))</f>
        <v/>
      </c>
      <c r="G182" s="3"/>
      <c r="H182" s="3"/>
      <c r="I182" s="3"/>
      <c r="J182" s="3"/>
      <c r="K182" s="6"/>
      <c r="L182" s="4"/>
      <c r="M182" s="4"/>
      <c r="N182" s="8"/>
      <c r="O182" s="8"/>
      <c r="P182" s="9"/>
      <c r="Q182" s="8"/>
      <c r="R182" s="8"/>
      <c r="S182" s="9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10"/>
    </row>
    <row r="183" spans="1:39" x14ac:dyDescent="0.2">
      <c r="A183" s="2" t="str">
        <f>IF($G183="","",IF(ISERROR(MATCH($N183,Lge_Scratch!$B:$B,0)),1,0))</f>
        <v/>
      </c>
      <c r="B183" s="2" t="str">
        <f>IF($G183="","",IF(AND(LEFT($Q183,8)="Non-aero",ISERROR(MATCH($N183,Lge_NonAero!$B:$B,0))),1,0))</f>
        <v/>
      </c>
      <c r="C183" s="5" t="str">
        <f>IF($G183="","",IF(AND(LEFT($O183,3)="Wom",ISERROR(MATCH($N183,Lge_Women!$B:$B,0))),1,0))</f>
        <v/>
      </c>
      <c r="D183" s="2" t="str">
        <f>IF($G183="","",IF(AND(OR($O183="Vet",$O183="Woman Vet"),ISERROR(MATCH($N183,Lge_Vets!$B:$B,0))),1,0))</f>
        <v/>
      </c>
      <c r="E183" s="2" t="str">
        <f>IF($G183="","",IF(AND(OR($O183="Junior",$O183="Woman Junior",$O183="Youth",$O183="Woman Youth"),ISERROR(MATCH($N183,Lge_Junior!$B:$B,0))),1,0))</f>
        <v/>
      </c>
      <c r="F183" s="2" t="str">
        <f>IF($G183="","",IF(AND(LEFT($O183,3)="You",ISERROR(MATCH($N183,Lge_Youth!$B:$B,0))),1,0))</f>
        <v/>
      </c>
      <c r="G183" s="3"/>
      <c r="H183" s="3"/>
      <c r="I183" s="3"/>
      <c r="J183" s="3"/>
      <c r="K183" s="6"/>
      <c r="L183" s="4"/>
      <c r="M183" s="4"/>
      <c r="N183" s="8"/>
      <c r="O183" s="8"/>
      <c r="P183" s="9"/>
      <c r="Q183" s="8"/>
      <c r="R183" s="8"/>
      <c r="S183" s="9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10"/>
    </row>
    <row r="184" spans="1:39" x14ac:dyDescent="0.2">
      <c r="A184" s="2" t="str">
        <f>IF($G184="","",IF(ISERROR(MATCH($N184,Lge_Scratch!$B:$B,0)),1,0))</f>
        <v/>
      </c>
      <c r="B184" s="2" t="str">
        <f>IF($G184="","",IF(AND(LEFT($Q184,8)="Non-aero",ISERROR(MATCH($N184,Lge_NonAero!$B:$B,0))),1,0))</f>
        <v/>
      </c>
      <c r="C184" s="5" t="str">
        <f>IF($G184="","",IF(AND(LEFT($O184,3)="Wom",ISERROR(MATCH($N184,Lge_Women!$B:$B,0))),1,0))</f>
        <v/>
      </c>
      <c r="D184" s="2" t="str">
        <f>IF($G184="","",IF(AND(OR($O184="Vet",$O184="Woman Vet"),ISERROR(MATCH($N184,Lge_Vets!$B:$B,0))),1,0))</f>
        <v/>
      </c>
      <c r="E184" s="2" t="str">
        <f>IF($G184="","",IF(AND(OR($O184="Junior",$O184="Woman Junior",$O184="Youth",$O184="Woman Youth"),ISERROR(MATCH($N184,Lge_Junior!$B:$B,0))),1,0))</f>
        <v/>
      </c>
      <c r="F184" s="2" t="str">
        <f>IF($G184="","",IF(AND(LEFT($O184,3)="You",ISERROR(MATCH($N184,Lge_Youth!$B:$B,0))),1,0))</f>
        <v/>
      </c>
      <c r="G184" s="3"/>
      <c r="H184" s="3"/>
      <c r="I184" s="3"/>
      <c r="J184" s="3"/>
      <c r="K184" s="6"/>
      <c r="L184" s="4"/>
      <c r="M184" s="4"/>
      <c r="N184" s="8"/>
      <c r="O184" s="8"/>
      <c r="P184" s="9"/>
      <c r="Q184" s="8"/>
      <c r="R184" s="8"/>
      <c r="S184" s="9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10"/>
    </row>
    <row r="185" spans="1:39" x14ac:dyDescent="0.2">
      <c r="A185" s="2" t="str">
        <f>IF($G185="","",IF(ISERROR(MATCH($N185,Lge_Scratch!$B:$B,0)),1,0))</f>
        <v/>
      </c>
      <c r="B185" s="2" t="str">
        <f>IF($G185="","",IF(AND(LEFT($Q185,8)="Non-aero",ISERROR(MATCH($N185,Lge_NonAero!$B:$B,0))),1,0))</f>
        <v/>
      </c>
      <c r="C185" s="5" t="str">
        <f>IF($G185="","",IF(AND(LEFT($O185,3)="Wom",ISERROR(MATCH($N185,Lge_Women!$B:$B,0))),1,0))</f>
        <v/>
      </c>
      <c r="D185" s="2" t="str">
        <f>IF($G185="","",IF(AND(OR($O185="Vet",$O185="Woman Vet"),ISERROR(MATCH($N185,Lge_Vets!$B:$B,0))),1,0))</f>
        <v/>
      </c>
      <c r="E185" s="2" t="str">
        <f>IF($G185="","",IF(AND(OR($O185="Junior",$O185="Woman Junior",$O185="Youth",$O185="Woman Youth"),ISERROR(MATCH($N185,Lge_Junior!$B:$B,0))),1,0))</f>
        <v/>
      </c>
      <c r="F185" s="2" t="str">
        <f>IF($G185="","",IF(AND(LEFT($O185,3)="You",ISERROR(MATCH($N185,Lge_Youth!$B:$B,0))),1,0))</f>
        <v/>
      </c>
      <c r="G185" s="3"/>
      <c r="H185" s="3"/>
      <c r="I185" s="3"/>
      <c r="J185" s="3"/>
      <c r="K185" s="6"/>
      <c r="L185" s="4"/>
      <c r="M185" s="4"/>
      <c r="N185" s="8"/>
      <c r="O185" s="8"/>
      <c r="P185" s="9"/>
      <c r="Q185" s="8"/>
      <c r="R185" s="8"/>
      <c r="S185" s="9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10"/>
    </row>
    <row r="186" spans="1:39" x14ac:dyDescent="0.2">
      <c r="A186" s="2" t="str">
        <f>IF($G186="","",IF(ISERROR(MATCH($N186,Lge_Scratch!$B:$B,0)),1,0))</f>
        <v/>
      </c>
      <c r="B186" s="2" t="str">
        <f>IF($G186="","",IF(AND(LEFT($Q186,8)="Non-aero",ISERROR(MATCH($N186,Lge_NonAero!$B:$B,0))),1,0))</f>
        <v/>
      </c>
      <c r="C186" s="5" t="str">
        <f>IF($G186="","",IF(AND(LEFT($O186,3)="Wom",ISERROR(MATCH($N186,Lge_Women!$B:$B,0))),1,0))</f>
        <v/>
      </c>
      <c r="D186" s="2" t="str">
        <f>IF($G186="","",IF(AND(OR($O186="Vet",$O186="Woman Vet"),ISERROR(MATCH($N186,Lge_Vets!$B:$B,0))),1,0))</f>
        <v/>
      </c>
      <c r="E186" s="2" t="str">
        <f>IF($G186="","",IF(AND(OR($O186="Junior",$O186="Woman Junior",$O186="Youth",$O186="Woman Youth"),ISERROR(MATCH($N186,Lge_Junior!$B:$B,0))),1,0))</f>
        <v/>
      </c>
      <c r="F186" s="2" t="str">
        <f>IF($G186="","",IF(AND(LEFT($O186,3)="You",ISERROR(MATCH($N186,Lge_Youth!$B:$B,0))),1,0))</f>
        <v/>
      </c>
      <c r="G186" s="3"/>
      <c r="H186" s="3"/>
      <c r="I186" s="3"/>
      <c r="J186" s="3"/>
      <c r="K186" s="6"/>
      <c r="L186" s="4"/>
      <c r="M186" s="4"/>
      <c r="N186" s="8"/>
      <c r="O186" s="8"/>
      <c r="P186" s="9"/>
      <c r="Q186" s="8"/>
      <c r="R186" s="8"/>
      <c r="S186" s="9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10"/>
    </row>
    <row r="187" spans="1:39" x14ac:dyDescent="0.2">
      <c r="A187" s="2" t="str">
        <f>IF($G187="","",IF(ISERROR(MATCH($N187,Lge_Scratch!$B:$B,0)),1,0))</f>
        <v/>
      </c>
      <c r="B187" s="2" t="str">
        <f>IF($G187="","",IF(AND(LEFT($Q187,8)="Non-aero",ISERROR(MATCH($N187,Lge_NonAero!$B:$B,0))),1,0))</f>
        <v/>
      </c>
      <c r="C187" s="5" t="str">
        <f>IF($G187="","",IF(AND(LEFT($O187,3)="Wom",ISERROR(MATCH($N187,Lge_Women!$B:$B,0))),1,0))</f>
        <v/>
      </c>
      <c r="D187" s="2" t="str">
        <f>IF($G187="","",IF(AND(OR($O187="Vet",$O187="Woman Vet"),ISERROR(MATCH($N187,Lge_Vets!$B:$B,0))),1,0))</f>
        <v/>
      </c>
      <c r="E187" s="2" t="str">
        <f>IF($G187="","",IF(AND(OR($O187="Junior",$O187="Woman Junior",$O187="Youth",$O187="Woman Youth"),ISERROR(MATCH($N187,Lge_Junior!$B:$B,0))),1,0))</f>
        <v/>
      </c>
      <c r="F187" s="2" t="str">
        <f>IF($G187="","",IF(AND(LEFT($O187,3)="You",ISERROR(MATCH($N187,Lge_Youth!$B:$B,0))),1,0))</f>
        <v/>
      </c>
      <c r="G187" s="3"/>
      <c r="H187" s="3"/>
      <c r="I187" s="3"/>
      <c r="J187" s="3"/>
      <c r="K187" s="6"/>
      <c r="L187" s="4"/>
      <c r="M187" s="4"/>
      <c r="N187" s="8"/>
      <c r="O187" s="8"/>
      <c r="P187" s="9"/>
      <c r="Q187" s="8"/>
      <c r="R187" s="8"/>
      <c r="S187" s="9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10"/>
    </row>
    <row r="188" spans="1:39" x14ac:dyDescent="0.2">
      <c r="A188" s="2" t="str">
        <f>IF($G188="","",IF(ISERROR(MATCH($N188,Lge_Scratch!$B:$B,0)),1,0))</f>
        <v/>
      </c>
      <c r="B188" s="2" t="str">
        <f>IF($G188="","",IF(AND(LEFT($Q188,8)="Non-aero",ISERROR(MATCH($N188,Lge_NonAero!$B:$B,0))),1,0))</f>
        <v/>
      </c>
      <c r="C188" s="5" t="str">
        <f>IF($G188="","",IF(AND(LEFT($O188,3)="Wom",ISERROR(MATCH($N188,Lge_Women!$B:$B,0))),1,0))</f>
        <v/>
      </c>
      <c r="D188" s="2" t="str">
        <f>IF($G188="","",IF(AND(OR($O188="Vet",$O188="Woman Vet"),ISERROR(MATCH($N188,Lge_Vets!$B:$B,0))),1,0))</f>
        <v/>
      </c>
      <c r="E188" s="2" t="str">
        <f>IF($G188="","",IF(AND(OR($O188="Junior",$O188="Woman Junior",$O188="Youth",$O188="Woman Youth"),ISERROR(MATCH($N188,Lge_Junior!$B:$B,0))),1,0))</f>
        <v/>
      </c>
      <c r="F188" s="2" t="str">
        <f>IF($G188="","",IF(AND(LEFT($O188,3)="You",ISERROR(MATCH($N188,Lge_Youth!$B:$B,0))),1,0))</f>
        <v/>
      </c>
      <c r="G188" s="3"/>
      <c r="H188" s="3"/>
      <c r="I188" s="3"/>
      <c r="J188" s="3"/>
      <c r="K188" s="6"/>
      <c r="L188" s="4"/>
      <c r="M188" s="4"/>
      <c r="N188" s="8"/>
      <c r="O188" s="8"/>
      <c r="P188" s="9"/>
      <c r="Q188" s="8"/>
      <c r="R188" s="8"/>
      <c r="S188" s="9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10"/>
    </row>
    <row r="189" spans="1:39" x14ac:dyDescent="0.2">
      <c r="A189" s="2" t="str">
        <f>IF($G189="","",IF(ISERROR(MATCH($N189,Lge_Scratch!$B:$B,0)),1,0))</f>
        <v/>
      </c>
      <c r="B189" s="2" t="str">
        <f>IF($G189="","",IF(AND(LEFT($Q189,8)="Non-aero",ISERROR(MATCH($N189,Lge_NonAero!$B:$B,0))),1,0))</f>
        <v/>
      </c>
      <c r="C189" s="5" t="str">
        <f>IF($G189="","",IF(AND(LEFT($O189,3)="Wom",ISERROR(MATCH($N189,Lge_Women!$B:$B,0))),1,0))</f>
        <v/>
      </c>
      <c r="D189" s="2" t="str">
        <f>IF($G189="","",IF(AND(OR($O189="Vet",$O189="Woman Vet"),ISERROR(MATCH($N189,Lge_Vets!$B:$B,0))),1,0))</f>
        <v/>
      </c>
      <c r="E189" s="2" t="str">
        <f>IF($G189="","",IF(AND(OR($O189="Junior",$O189="Woman Junior",$O189="Youth",$O189="Woman Youth"),ISERROR(MATCH($N189,Lge_Junior!$B:$B,0))),1,0))</f>
        <v/>
      </c>
      <c r="F189" s="2" t="str">
        <f>IF($G189="","",IF(AND(LEFT($O189,3)="You",ISERROR(MATCH($N189,Lge_Youth!$B:$B,0))),1,0))</f>
        <v/>
      </c>
      <c r="G189" s="3"/>
      <c r="H189" s="3"/>
      <c r="I189" s="3"/>
      <c r="J189" s="3"/>
      <c r="K189" s="6"/>
      <c r="L189" s="4"/>
      <c r="M189" s="4"/>
      <c r="N189" s="8"/>
      <c r="O189" s="8"/>
      <c r="P189" s="9"/>
      <c r="Q189" s="8"/>
      <c r="R189" s="8"/>
      <c r="S189" s="9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10"/>
    </row>
    <row r="190" spans="1:39" x14ac:dyDescent="0.2">
      <c r="A190" s="2" t="str">
        <f>IF($G190="","",IF(ISERROR(MATCH($N190,Lge_Scratch!$B:$B,0)),1,0))</f>
        <v/>
      </c>
      <c r="B190" s="2" t="str">
        <f>IF($G190="","",IF(AND(LEFT($Q190,8)="Non-aero",ISERROR(MATCH($N190,Lge_NonAero!$B:$B,0))),1,0))</f>
        <v/>
      </c>
      <c r="C190" s="5" t="str">
        <f>IF($G190="","",IF(AND(LEFT($O190,3)="Wom",ISERROR(MATCH($N190,Lge_Women!$B:$B,0))),1,0))</f>
        <v/>
      </c>
      <c r="D190" s="2" t="str">
        <f>IF($G190="","",IF(AND(OR($O190="Vet",$O190="Woman Vet"),ISERROR(MATCH($N190,Lge_Vets!$B:$B,0))),1,0))</f>
        <v/>
      </c>
      <c r="E190" s="2" t="str">
        <f>IF($G190="","",IF(AND(OR($O190="Junior",$O190="Woman Junior",$O190="Youth",$O190="Woman Youth"),ISERROR(MATCH($N190,Lge_Junior!$B:$B,0))),1,0))</f>
        <v/>
      </c>
      <c r="F190" s="2" t="str">
        <f>IF($G190="","",IF(AND(LEFT($O190,3)="You",ISERROR(MATCH($N190,Lge_Youth!$B:$B,0))),1,0))</f>
        <v/>
      </c>
      <c r="G190" s="3"/>
      <c r="H190" s="3"/>
      <c r="I190" s="3"/>
      <c r="J190" s="3"/>
      <c r="K190" s="6"/>
      <c r="L190" s="4"/>
      <c r="M190" s="4"/>
      <c r="N190" s="8"/>
      <c r="O190" s="8"/>
      <c r="P190" s="9"/>
      <c r="Q190" s="8"/>
      <c r="R190" s="8"/>
      <c r="S190" s="9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10"/>
    </row>
    <row r="191" spans="1:39" x14ac:dyDescent="0.2">
      <c r="A191" s="2" t="str">
        <f>IF($G191="","",IF(ISERROR(MATCH($N191,Lge_Scratch!$B:$B,0)),1,0))</f>
        <v/>
      </c>
      <c r="B191" s="2" t="str">
        <f>IF($G191="","",IF(AND(LEFT($Q191,8)="Non-aero",ISERROR(MATCH($N191,Lge_NonAero!$B:$B,0))),1,0))</f>
        <v/>
      </c>
      <c r="C191" s="5" t="str">
        <f>IF($G191="","",IF(AND(LEFT($O191,3)="Wom",ISERROR(MATCH($N191,Lge_Women!$B:$B,0))),1,0))</f>
        <v/>
      </c>
      <c r="D191" s="2" t="str">
        <f>IF($G191="","",IF(AND(OR($O191="Vet",$O191="Woman Vet"),ISERROR(MATCH($N191,Lge_Vets!$B:$B,0))),1,0))</f>
        <v/>
      </c>
      <c r="E191" s="2" t="str">
        <f>IF($G191="","",IF(AND(OR($O191="Junior",$O191="Woman Junior",$O191="Youth",$O191="Woman Youth"),ISERROR(MATCH($N191,Lge_Junior!$B:$B,0))),1,0))</f>
        <v/>
      </c>
      <c r="F191" s="2" t="str">
        <f>IF($G191="","",IF(AND(LEFT($O191,3)="You",ISERROR(MATCH($N191,Lge_Youth!$B:$B,0))),1,0))</f>
        <v/>
      </c>
      <c r="G191" s="3"/>
      <c r="H191" s="3"/>
      <c r="I191" s="3"/>
      <c r="J191" s="3"/>
      <c r="K191" s="6"/>
      <c r="L191" s="4"/>
      <c r="M191" s="4"/>
      <c r="N191" s="8"/>
      <c r="O191" s="8"/>
      <c r="P191" s="9"/>
      <c r="Q191" s="8"/>
      <c r="R191" s="8"/>
      <c r="S191" s="9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10"/>
    </row>
    <row r="192" spans="1:39" x14ac:dyDescent="0.2">
      <c r="A192" s="2" t="str">
        <f>IF($G192="","",IF(ISERROR(MATCH($N192,Lge_Scratch!$B:$B,0)),1,0))</f>
        <v/>
      </c>
      <c r="B192" s="2" t="str">
        <f>IF($G192="","",IF(AND(LEFT($Q192,8)="Non-aero",ISERROR(MATCH($N192,Lge_NonAero!$B:$B,0))),1,0))</f>
        <v/>
      </c>
      <c r="C192" s="5" t="str">
        <f>IF($G192="","",IF(AND(LEFT($O192,3)="Wom",ISERROR(MATCH($N192,Lge_Women!$B:$B,0))),1,0))</f>
        <v/>
      </c>
      <c r="D192" s="2" t="str">
        <f>IF($G192="","",IF(AND(OR($O192="Vet",$O192="Woman Vet"),ISERROR(MATCH($N192,Lge_Vets!$B:$B,0))),1,0))</f>
        <v/>
      </c>
      <c r="E192" s="2" t="str">
        <f>IF($G192="","",IF(AND(OR($O192="Junior",$O192="Woman Junior",$O192="Youth",$O192="Woman Youth"),ISERROR(MATCH($N192,Lge_Junior!$B:$B,0))),1,0))</f>
        <v/>
      </c>
      <c r="F192" s="2" t="str">
        <f>IF($G192="","",IF(AND(LEFT($O192,3)="You",ISERROR(MATCH($N192,Lge_Youth!$B:$B,0))),1,0))</f>
        <v/>
      </c>
      <c r="G192" s="3"/>
      <c r="H192" s="3"/>
      <c r="I192" s="3"/>
      <c r="J192" s="3"/>
      <c r="K192" s="6"/>
      <c r="L192" s="4"/>
      <c r="M192" s="4"/>
      <c r="N192" s="8"/>
      <c r="O192" s="8"/>
      <c r="P192" s="9"/>
      <c r="Q192" s="8"/>
      <c r="R192" s="8"/>
      <c r="S192" s="9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10"/>
    </row>
    <row r="193" spans="1:39" x14ac:dyDescent="0.2">
      <c r="A193" s="2" t="str">
        <f>IF($G193="","",IF(ISERROR(MATCH($N193,Lge_Scratch!$B:$B,0)),1,0))</f>
        <v/>
      </c>
      <c r="B193" s="2" t="str">
        <f>IF($G193="","",IF(AND(LEFT($Q193,8)="Non-aero",ISERROR(MATCH($N193,Lge_NonAero!$B:$B,0))),1,0))</f>
        <v/>
      </c>
      <c r="C193" s="5" t="str">
        <f>IF($G193="","",IF(AND(LEFT($O193,3)="Wom",ISERROR(MATCH($N193,Lge_Women!$B:$B,0))),1,0))</f>
        <v/>
      </c>
      <c r="D193" s="2" t="str">
        <f>IF($G193="","",IF(AND(OR($O193="Vet",$O193="Woman Vet"),ISERROR(MATCH($N193,Lge_Vets!$B:$B,0))),1,0))</f>
        <v/>
      </c>
      <c r="E193" s="2" t="str">
        <f>IF($G193="","",IF(AND(OR($O193="Junior",$O193="Woman Junior",$O193="Youth",$O193="Woman Youth"),ISERROR(MATCH($N193,Lge_Junior!$B:$B,0))),1,0))</f>
        <v/>
      </c>
      <c r="F193" s="2" t="str">
        <f>IF($G193="","",IF(AND(LEFT($O193,3)="You",ISERROR(MATCH($N193,Lge_Youth!$B:$B,0))),1,0))</f>
        <v/>
      </c>
      <c r="G193" s="3"/>
      <c r="H193" s="3"/>
      <c r="I193" s="3"/>
      <c r="J193" s="3"/>
      <c r="K193" s="6"/>
      <c r="L193" s="4"/>
      <c r="M193" s="4"/>
      <c r="N193" s="8"/>
      <c r="O193" s="8"/>
      <c r="P193" s="9"/>
      <c r="Q193" s="8"/>
      <c r="R193" s="8"/>
      <c r="S193" s="9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10"/>
    </row>
    <row r="194" spans="1:39" x14ac:dyDescent="0.2">
      <c r="A194" s="2" t="str">
        <f>IF($G194="","",IF(ISERROR(MATCH($N194,Lge_Scratch!$B:$B,0)),1,0))</f>
        <v/>
      </c>
      <c r="B194" s="2" t="str">
        <f>IF($G194="","",IF(AND(LEFT($Q194,8)="Non-aero",ISERROR(MATCH($N194,Lge_NonAero!$B:$B,0))),1,0))</f>
        <v/>
      </c>
      <c r="C194" s="5" t="str">
        <f>IF($G194="","",IF(AND(LEFT($O194,3)="Wom",ISERROR(MATCH($N194,Lge_Women!$B:$B,0))),1,0))</f>
        <v/>
      </c>
      <c r="D194" s="2" t="str">
        <f>IF($G194="","",IF(AND(OR($O194="Vet",$O194="Woman Vet"),ISERROR(MATCH($N194,Lge_Vets!$B:$B,0))),1,0))</f>
        <v/>
      </c>
      <c r="E194" s="2" t="str">
        <f>IF($G194="","",IF(AND(OR($O194="Junior",$O194="Woman Junior",$O194="Youth",$O194="Woman Youth"),ISERROR(MATCH($N194,Lge_Junior!$B:$B,0))),1,0))</f>
        <v/>
      </c>
      <c r="F194" s="2" t="str">
        <f>IF($G194="","",IF(AND(LEFT($O194,3)="You",ISERROR(MATCH($N194,Lge_Youth!$B:$B,0))),1,0))</f>
        <v/>
      </c>
      <c r="G194" s="3"/>
      <c r="H194" s="3"/>
      <c r="I194" s="3"/>
      <c r="J194" s="3"/>
      <c r="K194" s="6"/>
      <c r="L194" s="4"/>
      <c r="M194" s="4"/>
      <c r="N194" s="8"/>
      <c r="O194" s="8"/>
      <c r="P194" s="9"/>
      <c r="Q194" s="8"/>
      <c r="R194" s="8"/>
      <c r="S194" s="9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10"/>
    </row>
    <row r="195" spans="1:39" x14ac:dyDescent="0.2">
      <c r="A195" s="2" t="str">
        <f>IF($G195="","",IF(ISERROR(MATCH($N195,Lge_Scratch!$B:$B,0)),1,0))</f>
        <v/>
      </c>
      <c r="B195" s="2" t="str">
        <f>IF($G195="","",IF(AND(LEFT($Q195,8)="Non-aero",ISERROR(MATCH($N195,Lge_NonAero!$B:$B,0))),1,0))</f>
        <v/>
      </c>
      <c r="C195" s="5" t="str">
        <f>IF($G195="","",IF(AND(LEFT($O195,3)="Wom",ISERROR(MATCH($N195,Lge_Women!$B:$B,0))),1,0))</f>
        <v/>
      </c>
      <c r="D195" s="2" t="str">
        <f>IF($G195="","",IF(AND(OR($O195="Vet",$O195="Woman Vet"),ISERROR(MATCH($N195,Lge_Vets!$B:$B,0))),1,0))</f>
        <v/>
      </c>
      <c r="E195" s="2" t="str">
        <f>IF($G195="","",IF(AND(OR($O195="Junior",$O195="Woman Junior",$O195="Youth",$O195="Woman Youth"),ISERROR(MATCH($N195,Lge_Junior!$B:$B,0))),1,0))</f>
        <v/>
      </c>
      <c r="F195" s="2" t="str">
        <f>IF($G195="","",IF(AND(LEFT($O195,3)="You",ISERROR(MATCH($N195,Lge_Youth!$B:$B,0))),1,0))</f>
        <v/>
      </c>
      <c r="G195" s="3"/>
      <c r="H195" s="3"/>
      <c r="I195" s="3"/>
      <c r="J195" s="3"/>
      <c r="K195" s="6"/>
      <c r="L195" s="4"/>
      <c r="M195" s="4"/>
      <c r="N195" s="8"/>
      <c r="O195" s="8"/>
      <c r="P195" s="9"/>
      <c r="Q195" s="8"/>
      <c r="R195" s="8"/>
      <c r="S195" s="9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10"/>
    </row>
    <row r="196" spans="1:39" x14ac:dyDescent="0.2">
      <c r="A196" s="2" t="str">
        <f>IF($G196="","",IF(ISERROR(MATCH($N196,Lge_Scratch!$B:$B,0)),1,0))</f>
        <v/>
      </c>
      <c r="B196" s="2" t="str">
        <f>IF($G196="","",IF(AND(LEFT($Q196,8)="Non-aero",ISERROR(MATCH($N196,Lge_NonAero!$B:$B,0))),1,0))</f>
        <v/>
      </c>
      <c r="C196" s="5" t="str">
        <f>IF($G196="","",IF(AND(LEFT($O196,3)="Wom",ISERROR(MATCH($N196,Lge_Women!$B:$B,0))),1,0))</f>
        <v/>
      </c>
      <c r="D196" s="2" t="str">
        <f>IF($G196="","",IF(AND(OR($O196="Vet",$O196="Woman Vet"),ISERROR(MATCH($N196,Lge_Vets!$B:$B,0))),1,0))</f>
        <v/>
      </c>
      <c r="E196" s="2" t="str">
        <f>IF($G196="","",IF(AND(OR($O196="Junior",$O196="Woman Junior",$O196="Youth",$O196="Woman Youth"),ISERROR(MATCH($N196,Lge_Junior!$B:$B,0))),1,0))</f>
        <v/>
      </c>
      <c r="F196" s="2" t="str">
        <f>IF($G196="","",IF(AND(LEFT($O196,3)="You",ISERROR(MATCH($N196,Lge_Youth!$B:$B,0))),1,0))</f>
        <v/>
      </c>
      <c r="G196" s="3"/>
      <c r="H196" s="3"/>
      <c r="I196" s="3"/>
      <c r="J196" s="3"/>
      <c r="K196" s="6"/>
      <c r="L196" s="4"/>
      <c r="M196" s="4"/>
      <c r="N196" s="8"/>
      <c r="O196" s="8"/>
      <c r="P196" s="9"/>
      <c r="Q196" s="8"/>
      <c r="R196" s="8"/>
      <c r="S196" s="9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10"/>
    </row>
    <row r="197" spans="1:39" x14ac:dyDescent="0.2">
      <c r="A197" s="2" t="str">
        <f>IF($G197="","",IF(ISERROR(MATCH($N197,Lge_Scratch!$B:$B,0)),1,0))</f>
        <v/>
      </c>
      <c r="B197" s="2" t="str">
        <f>IF($G197="","",IF(AND(LEFT($Q197,8)="Non-aero",ISERROR(MATCH($N197,Lge_NonAero!$B:$B,0))),1,0))</f>
        <v/>
      </c>
      <c r="C197" s="5" t="str">
        <f>IF($G197="","",IF(AND(LEFT($O197,3)="Wom",ISERROR(MATCH($N197,Lge_Women!$B:$B,0))),1,0))</f>
        <v/>
      </c>
      <c r="D197" s="2" t="str">
        <f>IF($G197="","",IF(AND(OR($O197="Vet",$O197="Woman Vet"),ISERROR(MATCH($N197,Lge_Vets!$B:$B,0))),1,0))</f>
        <v/>
      </c>
      <c r="E197" s="2" t="str">
        <f>IF($G197="","",IF(AND(OR($O197="Junior",$O197="Woman Junior",$O197="Youth",$O197="Woman Youth"),ISERROR(MATCH($N197,Lge_Junior!$B:$B,0))),1,0))</f>
        <v/>
      </c>
      <c r="F197" s="2" t="str">
        <f>IF($G197="","",IF(AND(LEFT($O197,3)="You",ISERROR(MATCH($N197,Lge_Youth!$B:$B,0))),1,0))</f>
        <v/>
      </c>
      <c r="G197" s="3"/>
      <c r="H197" s="3"/>
      <c r="I197" s="3"/>
      <c r="J197" s="3"/>
      <c r="K197" s="6"/>
      <c r="L197" s="4"/>
      <c r="M197" s="4"/>
      <c r="N197" s="8"/>
      <c r="O197" s="8"/>
      <c r="P197" s="9"/>
      <c r="Q197" s="8"/>
      <c r="R197" s="8"/>
      <c r="S197" s="9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10"/>
    </row>
    <row r="198" spans="1:39" x14ac:dyDescent="0.2">
      <c r="A198" s="2" t="str">
        <f>IF($G198="","",IF(ISERROR(MATCH($N198,Lge_Scratch!$B:$B,0)),1,0))</f>
        <v/>
      </c>
      <c r="B198" s="2" t="str">
        <f>IF($G198="","",IF(AND(LEFT($Q198,8)="Non-aero",ISERROR(MATCH($N198,Lge_NonAero!$B:$B,0))),1,0))</f>
        <v/>
      </c>
      <c r="C198" s="5" t="str">
        <f>IF($G198="","",IF(AND(LEFT($O198,3)="Wom",ISERROR(MATCH($N198,Lge_Women!$B:$B,0))),1,0))</f>
        <v/>
      </c>
      <c r="D198" s="2" t="str">
        <f>IF($G198="","",IF(AND(OR($O198="Vet",$O198="Woman Vet"),ISERROR(MATCH($N198,Lge_Vets!$B:$B,0))),1,0))</f>
        <v/>
      </c>
      <c r="E198" s="2" t="str">
        <f>IF($G198="","",IF(AND(OR($O198="Junior",$O198="Woman Junior",$O198="Youth",$O198="Woman Youth"),ISERROR(MATCH($N198,Lge_Junior!$B:$B,0))),1,0))</f>
        <v/>
      </c>
      <c r="F198" s="2" t="str">
        <f>IF($G198="","",IF(AND(LEFT($O198,3)="You",ISERROR(MATCH($N198,Lge_Youth!$B:$B,0))),1,0))</f>
        <v/>
      </c>
      <c r="G198" s="3"/>
      <c r="H198" s="3"/>
      <c r="I198" s="3"/>
      <c r="J198" s="3"/>
      <c r="K198" s="6"/>
      <c r="L198" s="4"/>
      <c r="M198" s="4"/>
      <c r="N198" s="8"/>
      <c r="O198" s="8"/>
      <c r="P198" s="9"/>
      <c r="Q198" s="8"/>
      <c r="R198" s="8"/>
      <c r="S198" s="9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10"/>
    </row>
    <row r="199" spans="1:39" x14ac:dyDescent="0.2">
      <c r="A199" s="2" t="str">
        <f>IF($G199="","",IF(ISERROR(MATCH($N199,Lge_Scratch!$B:$B,0)),1,0))</f>
        <v/>
      </c>
      <c r="B199" s="2" t="str">
        <f>IF($G199="","",IF(AND(LEFT($Q199,8)="Non-aero",ISERROR(MATCH($N199,Lge_NonAero!$B:$B,0))),1,0))</f>
        <v/>
      </c>
      <c r="C199" s="5" t="str">
        <f>IF($G199="","",IF(AND(LEFT($O199,3)="Wom",ISERROR(MATCH($N199,Lge_Women!$B:$B,0))),1,0))</f>
        <v/>
      </c>
      <c r="D199" s="2" t="str">
        <f>IF($G199="","",IF(AND(OR($O199="Vet",$O199="Woman Vet"),ISERROR(MATCH($N199,Lge_Vets!$B:$B,0))),1,0))</f>
        <v/>
      </c>
      <c r="E199" s="2" t="str">
        <f>IF($G199="","",IF(AND(OR($O199="Junior",$O199="Woman Junior",$O199="Youth",$O199="Woman Youth"),ISERROR(MATCH($N199,Lge_Junior!$B:$B,0))),1,0))</f>
        <v/>
      </c>
      <c r="F199" s="2" t="str">
        <f>IF($G199="","",IF(AND(LEFT($O199,3)="You",ISERROR(MATCH($N199,Lge_Youth!$B:$B,0))),1,0))</f>
        <v/>
      </c>
      <c r="G199" s="3"/>
      <c r="H199" s="3"/>
      <c r="I199" s="3"/>
      <c r="J199" s="3"/>
      <c r="K199" s="6"/>
      <c r="L199" s="4"/>
      <c r="M199" s="4"/>
      <c r="N199" s="8"/>
      <c r="O199" s="8"/>
      <c r="P199" s="9"/>
      <c r="Q199" s="8"/>
      <c r="R199" s="8"/>
      <c r="S199" s="9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10"/>
    </row>
    <row r="200" spans="1:39" x14ac:dyDescent="0.2">
      <c r="A200" s="2" t="str">
        <f>IF($G200="","",IF(ISERROR(MATCH($N200,Lge_Scratch!$B:$B,0)),1,0))</f>
        <v/>
      </c>
      <c r="B200" s="2" t="str">
        <f>IF($G200="","",IF(AND(LEFT($Q200,8)="Non-aero",ISERROR(MATCH($N200,Lge_NonAero!$B:$B,0))),1,0))</f>
        <v/>
      </c>
      <c r="C200" s="5" t="str">
        <f>IF($G200="","",IF(AND(LEFT($O200,3)="Wom",ISERROR(MATCH($N200,Lge_Women!$B:$B,0))),1,0))</f>
        <v/>
      </c>
      <c r="D200" s="2" t="str">
        <f>IF($G200="","",IF(AND(OR($O200="Vet",$O200="Woman Vet"),ISERROR(MATCH($N200,Lge_Vets!$B:$B,0))),1,0))</f>
        <v/>
      </c>
      <c r="E200" s="2" t="str">
        <f>IF($G200="","",IF(AND(OR($O200="Junior",$O200="Woman Junior",$O200="Youth",$O200="Woman Youth"),ISERROR(MATCH($N200,Lge_Junior!$B:$B,0))),1,0))</f>
        <v/>
      </c>
      <c r="F200" s="2" t="str">
        <f>IF($G200="","",IF(AND(LEFT($O200,3)="You",ISERROR(MATCH($N200,Lge_Youth!$B:$B,0))),1,0))</f>
        <v/>
      </c>
      <c r="G200" s="3"/>
      <c r="H200" s="3"/>
      <c r="I200" s="3"/>
      <c r="J200" s="3"/>
      <c r="K200" s="6"/>
      <c r="L200" s="4"/>
      <c r="M200" s="4"/>
      <c r="N200" s="8"/>
      <c r="O200" s="8"/>
      <c r="P200" s="9"/>
      <c r="Q200" s="8"/>
      <c r="R200" s="8"/>
      <c r="S200" s="9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10"/>
    </row>
    <row r="201" spans="1:39" x14ac:dyDescent="0.2">
      <c r="A201" s="2" t="str">
        <f>IF($G201="","",IF(ISERROR(MATCH($N201,Lge_Scratch!$B:$B,0)),1,0))</f>
        <v/>
      </c>
      <c r="B201" s="2" t="str">
        <f>IF($G201="","",IF(AND(LEFT($Q201,8)="Non-aero",ISERROR(MATCH($N201,Lge_NonAero!$B:$B,0))),1,0))</f>
        <v/>
      </c>
      <c r="C201" s="5" t="str">
        <f>IF($G201="","",IF(AND(LEFT($O201,3)="Wom",ISERROR(MATCH($N201,Lge_Women!$B:$B,0))),1,0))</f>
        <v/>
      </c>
      <c r="D201" s="2" t="str">
        <f>IF($G201="","",IF(AND(OR($O201="Vet",$O201="Woman Vet"),ISERROR(MATCH($N201,Lge_Vets!$B:$B,0))),1,0))</f>
        <v/>
      </c>
      <c r="E201" s="2" t="str">
        <f>IF($G201="","",IF(AND(OR($O201="Junior",$O201="Woman Junior",$O201="Youth",$O201="Woman Youth"),ISERROR(MATCH($N201,Lge_Junior!$B:$B,0))),1,0))</f>
        <v/>
      </c>
      <c r="F201" s="2" t="str">
        <f>IF($G201="","",IF(AND(LEFT($O201,3)="You",ISERROR(MATCH($N201,Lge_Youth!$B:$B,0))),1,0))</f>
        <v/>
      </c>
      <c r="G201" s="3"/>
      <c r="H201" s="3"/>
      <c r="I201" s="3"/>
      <c r="J201" s="3"/>
      <c r="K201" s="6"/>
      <c r="L201" s="4"/>
      <c r="M201" s="4"/>
      <c r="N201" s="8"/>
      <c r="O201" s="8"/>
      <c r="P201" s="9"/>
      <c r="Q201" s="8"/>
      <c r="R201" s="8"/>
      <c r="S201" s="9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10"/>
    </row>
    <row r="202" spans="1:39" x14ac:dyDescent="0.2">
      <c r="A202" s="2" t="str">
        <f>IF($G202="","",IF(ISERROR(MATCH($N202,Lge_Scratch!$B:$B,0)),1,0))</f>
        <v/>
      </c>
      <c r="B202" s="2" t="str">
        <f>IF($G202="","",IF(AND(LEFT($Q202,8)="Non-aero",ISERROR(MATCH($N202,Lge_NonAero!$B:$B,0))),1,0))</f>
        <v/>
      </c>
      <c r="C202" s="5" t="str">
        <f>IF($G202="","",IF(AND(LEFT($O202,3)="Wom",ISERROR(MATCH($N202,Lge_Women!$B:$B,0))),1,0))</f>
        <v/>
      </c>
      <c r="D202" s="2" t="str">
        <f>IF($G202="","",IF(AND(OR($O202="Vet",$O202="Woman Vet"),ISERROR(MATCH($N202,Lge_Vets!$B:$B,0))),1,0))</f>
        <v/>
      </c>
      <c r="E202" s="2" t="str">
        <f>IF($G202="","",IF(AND(OR($O202="Junior",$O202="Woman Junior",$O202="Youth",$O202="Woman Youth"),ISERROR(MATCH($N202,Lge_Junior!$B:$B,0))),1,0))</f>
        <v/>
      </c>
      <c r="F202" s="2" t="str">
        <f>IF($G202="","",IF(AND(LEFT($O202,3)="You",ISERROR(MATCH($N202,Lge_Youth!$B:$B,0))),1,0))</f>
        <v/>
      </c>
      <c r="G202" s="3"/>
      <c r="H202" s="3"/>
      <c r="I202" s="3"/>
      <c r="J202" s="3"/>
      <c r="K202" s="6"/>
      <c r="L202" s="4"/>
      <c r="M202" s="4"/>
      <c r="N202" s="8"/>
      <c r="O202" s="8"/>
      <c r="P202" s="9"/>
      <c r="Q202" s="8"/>
      <c r="R202" s="8"/>
      <c r="S202" s="9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10"/>
    </row>
    <row r="203" spans="1:39" x14ac:dyDescent="0.2">
      <c r="A203" s="2" t="str">
        <f>IF($G203="","",IF(ISERROR(MATCH($N203,Lge_Scratch!$B:$B,0)),1,0))</f>
        <v/>
      </c>
      <c r="B203" s="2" t="str">
        <f>IF($G203="","",IF(AND(LEFT($Q203,8)="Non-aero",ISERROR(MATCH($N203,Lge_NonAero!$B:$B,0))),1,0))</f>
        <v/>
      </c>
      <c r="C203" s="5" t="str">
        <f>IF($G203="","",IF(AND(LEFT($O203,3)="Wom",ISERROR(MATCH($N203,Lge_Women!$B:$B,0))),1,0))</f>
        <v/>
      </c>
      <c r="D203" s="2" t="str">
        <f>IF($G203="","",IF(AND(OR($O203="Vet",$O203="Woman Vet"),ISERROR(MATCH($N203,Lge_Vets!$B:$B,0))),1,0))</f>
        <v/>
      </c>
      <c r="E203" s="2" t="str">
        <f>IF($G203="","",IF(AND(OR($O203="Junior",$O203="Woman Junior",$O203="Youth",$O203="Woman Youth"),ISERROR(MATCH($N203,Lge_Junior!$B:$B,0))),1,0))</f>
        <v/>
      </c>
      <c r="F203" s="2" t="str">
        <f>IF($G203="","",IF(AND(LEFT($O203,3)="You",ISERROR(MATCH($N203,Lge_Youth!$B:$B,0))),1,0))</f>
        <v/>
      </c>
      <c r="G203" s="3"/>
      <c r="H203" s="3"/>
      <c r="I203" s="3"/>
      <c r="J203" s="3"/>
      <c r="K203" s="6"/>
      <c r="L203" s="4"/>
      <c r="M203" s="4"/>
      <c r="N203" s="8"/>
      <c r="O203" s="8"/>
      <c r="P203" s="9"/>
      <c r="Q203" s="8"/>
      <c r="R203" s="8"/>
      <c r="S203" s="9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10"/>
    </row>
    <row r="204" spans="1:39" x14ac:dyDescent="0.2">
      <c r="A204" s="2" t="str">
        <f>IF($G204="","",IF(ISERROR(MATCH($N204,Lge_Scratch!$B:$B,0)),1,0))</f>
        <v/>
      </c>
      <c r="B204" s="2" t="str">
        <f>IF($G204="","",IF(AND(LEFT($Q204,8)="Non-aero",ISERROR(MATCH($N204,Lge_NonAero!$B:$B,0))),1,0))</f>
        <v/>
      </c>
      <c r="C204" s="5" t="str">
        <f>IF($G204="","",IF(AND(LEFT($O204,3)="Wom",ISERROR(MATCH($N204,Lge_Women!$B:$B,0))),1,0))</f>
        <v/>
      </c>
      <c r="D204" s="2" t="str">
        <f>IF($G204="","",IF(AND(OR($O204="Vet",$O204="Woman Vet"),ISERROR(MATCH($N204,Lge_Vets!$B:$B,0))),1,0))</f>
        <v/>
      </c>
      <c r="E204" s="2" t="str">
        <f>IF($G204="","",IF(AND(OR($O204="Junior",$O204="Woman Junior",$O204="Youth",$O204="Woman Youth"),ISERROR(MATCH($N204,Lge_Junior!$B:$B,0))),1,0))</f>
        <v/>
      </c>
      <c r="F204" s="2" t="str">
        <f>IF($G204="","",IF(AND(LEFT($O204,3)="You",ISERROR(MATCH($N204,Lge_Youth!$B:$B,0))),1,0))</f>
        <v/>
      </c>
      <c r="G204" s="3"/>
      <c r="H204" s="3"/>
      <c r="I204" s="3"/>
      <c r="J204" s="3"/>
      <c r="K204" s="6"/>
      <c r="L204" s="4"/>
      <c r="M204" s="4"/>
      <c r="N204" s="8"/>
      <c r="O204" s="8"/>
      <c r="P204" s="9"/>
      <c r="Q204" s="8"/>
      <c r="R204" s="8"/>
      <c r="S204" s="9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10"/>
    </row>
    <row r="205" spans="1:39" x14ac:dyDescent="0.2">
      <c r="A205" s="2" t="str">
        <f>IF($G205="","",IF(ISERROR(MATCH($N205,Lge_Scratch!$B:$B,0)),1,0))</f>
        <v/>
      </c>
      <c r="B205" s="2" t="str">
        <f>IF($G205="","",IF(AND(LEFT($Q205,8)="Non-aero",ISERROR(MATCH($N205,Lge_NonAero!$B:$B,0))),1,0))</f>
        <v/>
      </c>
      <c r="C205" s="5" t="str">
        <f>IF($G205="","",IF(AND(LEFT($O205,3)="Wom",ISERROR(MATCH($N205,Lge_Women!$B:$B,0))),1,0))</f>
        <v/>
      </c>
      <c r="D205" s="2" t="str">
        <f>IF($G205="","",IF(AND(OR($O205="Vet",$O205="Woman Vet"),ISERROR(MATCH($N205,Lge_Vets!$B:$B,0))),1,0))</f>
        <v/>
      </c>
      <c r="E205" s="2" t="str">
        <f>IF($G205="","",IF(AND(OR($O205="Junior",$O205="Woman Junior",$O205="Youth",$O205="Woman Youth"),ISERROR(MATCH($N205,Lge_Junior!$B:$B,0))),1,0))</f>
        <v/>
      </c>
      <c r="F205" s="2" t="str">
        <f>IF($G205="","",IF(AND(LEFT($O205,3)="You",ISERROR(MATCH($N205,Lge_Youth!$B:$B,0))),1,0))</f>
        <v/>
      </c>
      <c r="G205" s="3"/>
      <c r="H205" s="3"/>
      <c r="I205" s="3"/>
      <c r="J205" s="3"/>
      <c r="K205" s="6"/>
      <c r="L205" s="4"/>
      <c r="M205" s="4"/>
      <c r="N205" s="8"/>
      <c r="O205" s="8"/>
      <c r="P205" s="9"/>
      <c r="Q205" s="8"/>
      <c r="R205" s="8"/>
      <c r="S205" s="9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10"/>
    </row>
    <row r="206" spans="1:39" x14ac:dyDescent="0.2">
      <c r="A206" s="2" t="str">
        <f>IF($G206="","",IF(ISERROR(MATCH($N206,Lge_Scratch!$B:$B,0)),1,0))</f>
        <v/>
      </c>
      <c r="B206" s="2" t="str">
        <f>IF($G206="","",IF(AND(LEFT($Q206,8)="Non-aero",ISERROR(MATCH($N206,Lge_NonAero!$B:$B,0))),1,0))</f>
        <v/>
      </c>
      <c r="C206" s="5" t="str">
        <f>IF($G206="","",IF(AND(LEFT($O206,3)="Wom",ISERROR(MATCH($N206,Lge_Women!$B:$B,0))),1,0))</f>
        <v/>
      </c>
      <c r="D206" s="2" t="str">
        <f>IF($G206="","",IF(AND(OR($O206="Vet",$O206="Woman Vet"),ISERROR(MATCH($N206,Lge_Vets!$B:$B,0))),1,0))</f>
        <v/>
      </c>
      <c r="E206" s="2" t="str">
        <f>IF($G206="","",IF(AND(OR($O206="Junior",$O206="Woman Junior",$O206="Youth",$O206="Woman Youth"),ISERROR(MATCH($N206,Lge_Junior!$B:$B,0))),1,0))</f>
        <v/>
      </c>
      <c r="F206" s="2" t="str">
        <f>IF($G206="","",IF(AND(LEFT($O206,3)="You",ISERROR(MATCH($N206,Lge_Youth!$B:$B,0))),1,0))</f>
        <v/>
      </c>
      <c r="G206" s="3"/>
      <c r="H206" s="3"/>
      <c r="I206" s="3"/>
      <c r="J206" s="3"/>
      <c r="K206" s="6"/>
      <c r="L206" s="4"/>
      <c r="M206" s="4"/>
      <c r="N206" s="8"/>
      <c r="O206" s="8"/>
      <c r="P206" s="9"/>
      <c r="Q206" s="8"/>
      <c r="R206" s="8"/>
      <c r="S206" s="9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10"/>
    </row>
    <row r="207" spans="1:39" x14ac:dyDescent="0.2">
      <c r="A207" s="2" t="str">
        <f>IF($G207="","",IF(ISERROR(MATCH($N207,Lge_Scratch!$B:$B,0)),1,0))</f>
        <v/>
      </c>
      <c r="B207" s="2" t="str">
        <f>IF($G207="","",IF(AND(LEFT($Q207,8)="Non-aero",ISERROR(MATCH($N207,Lge_NonAero!$B:$B,0))),1,0))</f>
        <v/>
      </c>
      <c r="C207" s="5" t="str">
        <f>IF($G207="","",IF(AND(LEFT($O207,3)="Wom",ISERROR(MATCH($N207,Lge_Women!$B:$B,0))),1,0))</f>
        <v/>
      </c>
      <c r="D207" s="2" t="str">
        <f>IF($G207="","",IF(AND(OR($O207="Vet",$O207="Woman Vet"),ISERROR(MATCH($N207,Lge_Vets!$B:$B,0))),1,0))</f>
        <v/>
      </c>
      <c r="E207" s="2" t="str">
        <f>IF($G207="","",IF(AND(OR($O207="Junior",$O207="Woman Junior",$O207="Youth",$O207="Woman Youth"),ISERROR(MATCH($N207,Lge_Junior!$B:$B,0))),1,0))</f>
        <v/>
      </c>
      <c r="F207" s="2" t="str">
        <f>IF($G207="","",IF(AND(LEFT($O207,3)="You",ISERROR(MATCH($N207,Lge_Youth!$B:$B,0))),1,0))</f>
        <v/>
      </c>
      <c r="G207" s="3"/>
      <c r="H207" s="3"/>
      <c r="I207" s="3"/>
      <c r="J207" s="3"/>
      <c r="K207" s="6"/>
      <c r="L207" s="4"/>
      <c r="M207" s="4"/>
      <c r="N207" s="8"/>
      <c r="O207" s="8"/>
      <c r="P207" s="9"/>
      <c r="Q207" s="8"/>
      <c r="R207" s="8"/>
      <c r="S207" s="9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10"/>
    </row>
    <row r="208" spans="1:39" x14ac:dyDescent="0.2">
      <c r="A208" s="2" t="str">
        <f>IF($G208="","",IF(ISERROR(MATCH($N208,Lge_Scratch!$B:$B,0)),1,0))</f>
        <v/>
      </c>
      <c r="B208" s="2" t="str">
        <f>IF($G208="","",IF(AND(LEFT($Q208,8)="Non-aero",ISERROR(MATCH($N208,Lge_NonAero!$B:$B,0))),1,0))</f>
        <v/>
      </c>
      <c r="C208" s="5" t="str">
        <f>IF($G208="","",IF(AND(LEFT($O208,3)="Wom",ISERROR(MATCH($N208,Lge_Women!$B:$B,0))),1,0))</f>
        <v/>
      </c>
      <c r="D208" s="2" t="str">
        <f>IF($G208="","",IF(AND(OR($O208="Vet",$O208="Woman Vet"),ISERROR(MATCH($N208,Lge_Vets!$B:$B,0))),1,0))</f>
        <v/>
      </c>
      <c r="E208" s="2" t="str">
        <f>IF($G208="","",IF(AND(OR($O208="Junior",$O208="Woman Junior",$O208="Youth",$O208="Woman Youth"),ISERROR(MATCH($N208,Lge_Junior!$B:$B,0))),1,0))</f>
        <v/>
      </c>
      <c r="F208" s="2" t="str">
        <f>IF($G208="","",IF(AND(LEFT($O208,3)="You",ISERROR(MATCH($N208,Lge_Youth!$B:$B,0))),1,0))</f>
        <v/>
      </c>
      <c r="G208" s="3"/>
      <c r="H208" s="3"/>
      <c r="I208" s="3"/>
      <c r="J208" s="3"/>
      <c r="K208" s="6"/>
      <c r="L208" s="4"/>
      <c r="M208" s="4"/>
      <c r="N208" s="8"/>
      <c r="O208" s="8"/>
      <c r="P208" s="9"/>
      <c r="Q208" s="8"/>
      <c r="R208" s="8"/>
      <c r="S208" s="9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10"/>
    </row>
    <row r="209" spans="1:39" x14ac:dyDescent="0.2">
      <c r="A209" s="2" t="str">
        <f>IF($G209="","",IF(ISERROR(MATCH($N209,Lge_Scratch!$B:$B,0)),1,0))</f>
        <v/>
      </c>
      <c r="B209" s="2" t="str">
        <f>IF($G209="","",IF(AND(LEFT($Q209,8)="Non-aero",ISERROR(MATCH($N209,Lge_NonAero!$B:$B,0))),1,0))</f>
        <v/>
      </c>
      <c r="C209" s="5" t="str">
        <f>IF($G209="","",IF(AND(LEFT($O209,3)="Wom",ISERROR(MATCH($N209,Lge_Women!$B:$B,0))),1,0))</f>
        <v/>
      </c>
      <c r="D209" s="2" t="str">
        <f>IF($G209="","",IF(AND(OR($O209="Vet",$O209="Woman Vet"),ISERROR(MATCH($N209,Lge_Vets!$B:$B,0))),1,0))</f>
        <v/>
      </c>
      <c r="E209" s="2" t="str">
        <f>IF($G209="","",IF(AND(OR($O209="Junior",$O209="Woman Junior",$O209="Youth",$O209="Woman Youth"),ISERROR(MATCH($N209,Lge_Junior!$B:$B,0))),1,0))</f>
        <v/>
      </c>
      <c r="F209" s="2" t="str">
        <f>IF($G209="","",IF(AND(LEFT($O209,3)="You",ISERROR(MATCH($N209,Lge_Youth!$B:$B,0))),1,0))</f>
        <v/>
      </c>
      <c r="G209" s="3"/>
      <c r="H209" s="3"/>
      <c r="I209" s="3"/>
      <c r="J209" s="3"/>
      <c r="K209" s="6"/>
      <c r="L209" s="4"/>
      <c r="M209" s="4"/>
      <c r="N209" s="8"/>
      <c r="O209" s="8"/>
      <c r="P209" s="9"/>
      <c r="Q209" s="8"/>
      <c r="R209" s="8"/>
      <c r="S209" s="9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10"/>
    </row>
    <row r="210" spans="1:39" x14ac:dyDescent="0.2">
      <c r="A210" s="2" t="str">
        <f>IF($G210="","",IF(ISERROR(MATCH($N210,Lge_Scratch!$B:$B,0)),1,0))</f>
        <v/>
      </c>
      <c r="B210" s="2" t="str">
        <f>IF($G210="","",IF(AND(LEFT($Q210,8)="Non-aero",ISERROR(MATCH($N210,Lge_NonAero!$B:$B,0))),1,0))</f>
        <v/>
      </c>
      <c r="C210" s="5" t="str">
        <f>IF($G210="","",IF(AND(LEFT($O210,3)="Wom",ISERROR(MATCH($N210,Lge_Women!$B:$B,0))),1,0))</f>
        <v/>
      </c>
      <c r="D210" s="2" t="str">
        <f>IF($G210="","",IF(AND(OR($O210="Vet",$O210="Woman Vet"),ISERROR(MATCH($N210,Lge_Vets!$B:$B,0))),1,0))</f>
        <v/>
      </c>
      <c r="E210" s="2" t="str">
        <f>IF($G210="","",IF(AND(OR($O210="Junior",$O210="Woman Junior",$O210="Youth",$O210="Woman Youth"),ISERROR(MATCH($N210,Lge_Junior!$B:$B,0))),1,0))</f>
        <v/>
      </c>
      <c r="F210" s="2" t="str">
        <f>IF($G210="","",IF(AND(LEFT($O210,3)="You",ISERROR(MATCH($N210,Lge_Youth!$B:$B,0))),1,0))</f>
        <v/>
      </c>
      <c r="G210" s="3"/>
      <c r="H210" s="3"/>
      <c r="I210" s="3"/>
      <c r="J210" s="3"/>
      <c r="K210" s="6"/>
      <c r="L210" s="4"/>
      <c r="M210" s="4"/>
      <c r="N210" s="8"/>
      <c r="O210" s="8"/>
      <c r="P210" s="9"/>
      <c r="Q210" s="8"/>
      <c r="R210" s="8"/>
      <c r="S210" s="9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10"/>
    </row>
    <row r="211" spans="1:39" x14ac:dyDescent="0.2">
      <c r="A211" s="2" t="str">
        <f>IF($G211="","",IF(ISERROR(MATCH($N211,Lge_Scratch!$B:$B,0)),1,0))</f>
        <v/>
      </c>
      <c r="B211" s="2" t="str">
        <f>IF($G211="","",IF(AND(LEFT($Q211,8)="Non-aero",ISERROR(MATCH($N211,Lge_NonAero!$B:$B,0))),1,0))</f>
        <v/>
      </c>
      <c r="C211" s="5" t="str">
        <f>IF($G211="","",IF(AND(LEFT($O211,3)="Wom",ISERROR(MATCH($N211,Lge_Women!$B:$B,0))),1,0))</f>
        <v/>
      </c>
      <c r="D211" s="2" t="str">
        <f>IF($G211="","",IF(AND(OR($O211="Vet",$O211="Woman Vet"),ISERROR(MATCH($N211,Lge_Vets!$B:$B,0))),1,0))</f>
        <v/>
      </c>
      <c r="E211" s="2" t="str">
        <f>IF($G211="","",IF(AND(OR($O211="Junior",$O211="Woman Junior",$O211="Youth",$O211="Woman Youth"),ISERROR(MATCH($N211,Lge_Junior!$B:$B,0))),1,0))</f>
        <v/>
      </c>
      <c r="F211" s="2" t="str">
        <f>IF($G211="","",IF(AND(LEFT($O211,3)="You",ISERROR(MATCH($N211,Lge_Youth!$B:$B,0))),1,0))</f>
        <v/>
      </c>
      <c r="G211" s="3"/>
      <c r="H211" s="3"/>
      <c r="I211" s="3"/>
      <c r="J211" s="3"/>
      <c r="K211" s="6"/>
      <c r="L211" s="4"/>
      <c r="M211" s="4"/>
      <c r="N211" s="8"/>
      <c r="O211" s="8"/>
      <c r="P211" s="9"/>
      <c r="Q211" s="8"/>
      <c r="R211" s="8"/>
      <c r="S211" s="9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10"/>
    </row>
    <row r="212" spans="1:39" x14ac:dyDescent="0.2">
      <c r="A212" s="2" t="str">
        <f>IF($G212="","",IF(ISERROR(MATCH($N212,Lge_Scratch!$B:$B,0)),1,0))</f>
        <v/>
      </c>
      <c r="B212" s="2" t="str">
        <f>IF($G212="","",IF(AND(LEFT($Q212,8)="Non-aero",ISERROR(MATCH($N212,Lge_NonAero!$B:$B,0))),1,0))</f>
        <v/>
      </c>
      <c r="C212" s="5" t="str">
        <f>IF($G212="","",IF(AND(LEFT($O212,3)="Wom",ISERROR(MATCH($N212,Lge_Women!$B:$B,0))),1,0))</f>
        <v/>
      </c>
      <c r="D212" s="2" t="str">
        <f>IF($G212="","",IF(AND(OR($O212="Vet",$O212="Woman Vet"),ISERROR(MATCH($N212,Lge_Vets!$B:$B,0))),1,0))</f>
        <v/>
      </c>
      <c r="E212" s="2" t="str">
        <f>IF($G212="","",IF(AND(OR($O212="Junior",$O212="Woman Junior",$O212="Youth",$O212="Woman Youth"),ISERROR(MATCH($N212,Lge_Junior!$B:$B,0))),1,0))</f>
        <v/>
      </c>
      <c r="F212" s="2" t="str">
        <f>IF($G212="","",IF(AND(LEFT($O212,3)="You",ISERROR(MATCH($N212,Lge_Youth!$B:$B,0))),1,0))</f>
        <v/>
      </c>
      <c r="G212" s="3"/>
      <c r="H212" s="3"/>
      <c r="I212" s="3"/>
      <c r="J212" s="3"/>
      <c r="K212" s="6"/>
      <c r="L212" s="4"/>
      <c r="M212" s="4"/>
      <c r="N212" s="8"/>
      <c r="O212" s="8"/>
      <c r="P212" s="9"/>
      <c r="Q212" s="8"/>
      <c r="R212" s="8"/>
      <c r="S212" s="9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10"/>
    </row>
    <row r="213" spans="1:39" x14ac:dyDescent="0.2">
      <c r="A213" s="2" t="str">
        <f>IF($G213="","",IF(ISERROR(MATCH($N213,Lge_Scratch!$B:$B,0)),1,0))</f>
        <v/>
      </c>
      <c r="B213" s="2" t="str">
        <f>IF($G213="","",IF(AND(LEFT($Q213,8)="Non-aero",ISERROR(MATCH($N213,Lge_NonAero!$B:$B,0))),1,0))</f>
        <v/>
      </c>
      <c r="C213" s="5" t="str">
        <f>IF($G213="","",IF(AND(LEFT($O213,3)="Wom",ISERROR(MATCH($N213,Lge_Women!$B:$B,0))),1,0))</f>
        <v/>
      </c>
      <c r="D213" s="2" t="str">
        <f>IF($G213="","",IF(AND(OR($O213="Vet",$O213="Woman Vet"),ISERROR(MATCH($N213,Lge_Vets!$B:$B,0))),1,0))</f>
        <v/>
      </c>
      <c r="E213" s="2" t="str">
        <f>IF($G213="","",IF(AND(OR($O213="Junior",$O213="Woman Junior",$O213="Youth",$O213="Woman Youth"),ISERROR(MATCH($N213,Lge_Junior!$B:$B,0))),1,0))</f>
        <v/>
      </c>
      <c r="F213" s="2" t="str">
        <f>IF($G213="","",IF(AND(LEFT($O213,3)="You",ISERROR(MATCH($N213,Lge_Youth!$B:$B,0))),1,0))</f>
        <v/>
      </c>
      <c r="G213" s="3"/>
      <c r="H213" s="3"/>
      <c r="I213" s="3"/>
      <c r="J213" s="3"/>
      <c r="K213" s="6"/>
      <c r="L213" s="4"/>
      <c r="M213" s="4"/>
      <c r="N213" s="8"/>
      <c r="O213" s="8"/>
      <c r="P213" s="9"/>
      <c r="Q213" s="8"/>
      <c r="R213" s="8"/>
      <c r="S213" s="9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10"/>
    </row>
    <row r="214" spans="1:39" x14ac:dyDescent="0.2">
      <c r="A214" s="2" t="str">
        <f>IF($G214="","",IF(ISERROR(MATCH($N214,Lge_Scratch!$B:$B,0)),1,0))</f>
        <v/>
      </c>
      <c r="B214" s="2" t="str">
        <f>IF($G214="","",IF(AND(LEFT($Q214,8)="Non-aero",ISERROR(MATCH($N214,Lge_NonAero!$B:$B,0))),1,0))</f>
        <v/>
      </c>
      <c r="C214" s="5" t="str">
        <f>IF($G214="","",IF(AND(LEFT($O214,3)="Wom",ISERROR(MATCH($N214,Lge_Women!$B:$B,0))),1,0))</f>
        <v/>
      </c>
      <c r="D214" s="2" t="str">
        <f>IF($G214="","",IF(AND(OR($O214="Vet",$O214="Woman Vet"),ISERROR(MATCH($N214,Lge_Vets!$B:$B,0))),1,0))</f>
        <v/>
      </c>
      <c r="E214" s="2" t="str">
        <f>IF($G214="","",IF(AND(OR($O214="Junior",$O214="Woman Junior",$O214="Youth",$O214="Woman Youth"),ISERROR(MATCH($N214,Lge_Junior!$B:$B,0))),1,0))</f>
        <v/>
      </c>
      <c r="F214" s="2" t="str">
        <f>IF($G214="","",IF(AND(LEFT($O214,3)="You",ISERROR(MATCH($N214,Lge_Youth!$B:$B,0))),1,0))</f>
        <v/>
      </c>
      <c r="G214" s="3"/>
      <c r="H214" s="3"/>
      <c r="I214" s="3"/>
      <c r="J214" s="3"/>
      <c r="K214" s="6"/>
      <c r="L214" s="4"/>
      <c r="M214" s="4"/>
      <c r="N214" s="8"/>
      <c r="O214" s="8"/>
      <c r="P214" s="9"/>
      <c r="Q214" s="8"/>
      <c r="R214" s="8"/>
      <c r="S214" s="9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10"/>
    </row>
    <row r="215" spans="1:39" x14ac:dyDescent="0.2">
      <c r="A215" s="2" t="str">
        <f>IF($G215="","",IF(ISERROR(MATCH($N215,Lge_Scratch!$B:$B,0)),1,0))</f>
        <v/>
      </c>
      <c r="B215" s="2" t="str">
        <f>IF($G215="","",IF(AND(LEFT($Q215,8)="Non-aero",ISERROR(MATCH($N215,Lge_NonAero!$B:$B,0))),1,0))</f>
        <v/>
      </c>
      <c r="C215" s="5" t="str">
        <f>IF($G215="","",IF(AND(LEFT($O215,3)="Wom",ISERROR(MATCH($N215,Lge_Women!$B:$B,0))),1,0))</f>
        <v/>
      </c>
      <c r="D215" s="2" t="str">
        <f>IF($G215="","",IF(AND(OR($O215="Vet",$O215="Woman Vet"),ISERROR(MATCH($N215,Lge_Vets!$B:$B,0))),1,0))</f>
        <v/>
      </c>
      <c r="E215" s="2" t="str">
        <f>IF($G215="","",IF(AND(OR($O215="Junior",$O215="Woman Junior",$O215="Youth",$O215="Woman Youth"),ISERROR(MATCH($N215,Lge_Junior!$B:$B,0))),1,0))</f>
        <v/>
      </c>
      <c r="F215" s="2" t="str">
        <f>IF($G215="","",IF(AND(LEFT($O215,3)="You",ISERROR(MATCH($N215,Lge_Youth!$B:$B,0))),1,0))</f>
        <v/>
      </c>
      <c r="G215" s="3"/>
      <c r="H215" s="3"/>
      <c r="I215" s="3"/>
      <c r="J215" s="3"/>
      <c r="K215" s="6"/>
      <c r="L215" s="4"/>
      <c r="M215" s="4"/>
      <c r="N215" s="8"/>
      <c r="O215" s="8"/>
      <c r="P215" s="9"/>
      <c r="Q215" s="8"/>
      <c r="R215" s="8"/>
      <c r="S215" s="9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10"/>
    </row>
    <row r="216" spans="1:39" x14ac:dyDescent="0.2">
      <c r="A216" s="2" t="str">
        <f>IF($G216="","",IF(ISERROR(MATCH($N216,Lge_Scratch!$B:$B,0)),1,0))</f>
        <v/>
      </c>
      <c r="B216" s="2" t="str">
        <f>IF($G216="","",IF(AND(LEFT($Q216,8)="Non-aero",ISERROR(MATCH($N216,Lge_NonAero!$B:$B,0))),1,0))</f>
        <v/>
      </c>
      <c r="C216" s="5" t="str">
        <f>IF($G216="","",IF(AND(LEFT($O216,3)="Wom",ISERROR(MATCH($N216,Lge_Women!$B:$B,0))),1,0))</f>
        <v/>
      </c>
      <c r="D216" s="2" t="str">
        <f>IF($G216="","",IF(AND(OR($O216="Vet",$O216="Woman Vet"),ISERROR(MATCH($N216,Lge_Vets!$B:$B,0))),1,0))</f>
        <v/>
      </c>
      <c r="E216" s="2" t="str">
        <f>IF($G216="","",IF(AND(OR($O216="Junior",$O216="Woman Junior",$O216="Youth",$O216="Woman Youth"),ISERROR(MATCH($N216,Lge_Junior!$B:$B,0))),1,0))</f>
        <v/>
      </c>
      <c r="F216" s="2" t="str">
        <f>IF($G216="","",IF(AND(LEFT($O216,3)="You",ISERROR(MATCH($N216,Lge_Youth!$B:$B,0))),1,0))</f>
        <v/>
      </c>
      <c r="G216" s="3"/>
      <c r="H216" s="3"/>
      <c r="I216" s="3"/>
      <c r="J216" s="3"/>
      <c r="K216" s="6"/>
      <c r="L216" s="4"/>
      <c r="M216" s="4"/>
      <c r="N216" s="8"/>
      <c r="O216" s="8"/>
      <c r="P216" s="9"/>
      <c r="Q216" s="8"/>
      <c r="R216" s="8"/>
      <c r="S216" s="9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10"/>
    </row>
    <row r="217" spans="1:39" x14ac:dyDescent="0.2">
      <c r="A217" s="2" t="str">
        <f>IF($G217="","",IF(ISERROR(MATCH($N217,Lge_Scratch!$B:$B,0)),1,0))</f>
        <v/>
      </c>
      <c r="B217" s="2" t="str">
        <f>IF($G217="","",IF(AND(LEFT($Q217,8)="Non-aero",ISERROR(MATCH($N217,Lge_NonAero!$B:$B,0))),1,0))</f>
        <v/>
      </c>
      <c r="C217" s="5" t="str">
        <f>IF($G217="","",IF(AND(LEFT($O217,3)="Wom",ISERROR(MATCH($N217,Lge_Women!$B:$B,0))),1,0))</f>
        <v/>
      </c>
      <c r="D217" s="2" t="str">
        <f>IF($G217="","",IF(AND(OR($O217="Vet",$O217="Woman Vet"),ISERROR(MATCH($N217,Lge_Vets!$B:$B,0))),1,0))</f>
        <v/>
      </c>
      <c r="E217" s="2" t="str">
        <f>IF($G217="","",IF(AND(OR($O217="Junior",$O217="Woman Junior",$O217="Youth",$O217="Woman Youth"),ISERROR(MATCH($N217,Lge_Junior!$B:$B,0))),1,0))</f>
        <v/>
      </c>
      <c r="F217" s="2" t="str">
        <f>IF($G217="","",IF(AND(LEFT($O217,3)="You",ISERROR(MATCH($N217,Lge_Youth!$B:$B,0))),1,0))</f>
        <v/>
      </c>
      <c r="G217" s="3"/>
      <c r="H217" s="3"/>
      <c r="I217" s="3"/>
      <c r="J217" s="3"/>
      <c r="K217" s="6"/>
      <c r="L217" s="4"/>
      <c r="M217" s="4"/>
      <c r="N217" s="8"/>
      <c r="O217" s="8"/>
      <c r="P217" s="9"/>
      <c r="Q217" s="8"/>
      <c r="R217" s="8"/>
      <c r="S217" s="9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10"/>
    </row>
    <row r="218" spans="1:39" x14ac:dyDescent="0.2">
      <c r="A218" s="2" t="str">
        <f>IF($G218="","",IF(ISERROR(MATCH($N218,Lge_Scratch!$B:$B,0)),1,0))</f>
        <v/>
      </c>
      <c r="B218" s="2" t="str">
        <f>IF($G218="","",IF(AND(LEFT($Q218,8)="Non-aero",ISERROR(MATCH($N218,Lge_NonAero!$B:$B,0))),1,0))</f>
        <v/>
      </c>
      <c r="C218" s="5" t="str">
        <f>IF($G218="","",IF(AND(LEFT($O218,3)="Wom",ISERROR(MATCH($N218,Lge_Women!$B:$B,0))),1,0))</f>
        <v/>
      </c>
      <c r="D218" s="2" t="str">
        <f>IF($G218="","",IF(AND(OR($O218="Vet",$O218="Woman Vet"),ISERROR(MATCH($N218,Lge_Vets!$B:$B,0))),1,0))</f>
        <v/>
      </c>
      <c r="E218" s="2" t="str">
        <f>IF($G218="","",IF(AND(OR($O218="Junior",$O218="Woman Junior",$O218="Youth",$O218="Woman Youth"),ISERROR(MATCH($N218,Lge_Junior!$B:$B,0))),1,0))</f>
        <v/>
      </c>
      <c r="F218" s="2" t="str">
        <f>IF($G218="","",IF(AND(LEFT($O218,3)="You",ISERROR(MATCH($N218,Lge_Youth!$B:$B,0))),1,0))</f>
        <v/>
      </c>
      <c r="G218" s="3"/>
      <c r="H218" s="3"/>
      <c r="I218" s="3"/>
      <c r="J218" s="3"/>
      <c r="K218" s="6"/>
      <c r="L218" s="4"/>
      <c r="M218" s="4"/>
      <c r="N218" s="8"/>
      <c r="O218" s="8"/>
      <c r="P218" s="9"/>
      <c r="Q218" s="8"/>
      <c r="R218" s="8"/>
      <c r="S218" s="9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10"/>
    </row>
    <row r="219" spans="1:39" x14ac:dyDescent="0.2">
      <c r="A219" s="2" t="str">
        <f>IF($G219="","",IF(ISERROR(MATCH($N219,Lge_Scratch!$B:$B,0)),1,0))</f>
        <v/>
      </c>
      <c r="B219" s="2" t="str">
        <f>IF($G219="","",IF(AND(LEFT($Q219,8)="Non-aero",ISERROR(MATCH($N219,Lge_NonAero!$B:$B,0))),1,0))</f>
        <v/>
      </c>
      <c r="C219" s="5" t="str">
        <f>IF($G219="","",IF(AND(LEFT($O219,3)="Wom",ISERROR(MATCH($N219,Lge_Women!$B:$B,0))),1,0))</f>
        <v/>
      </c>
      <c r="D219" s="2" t="str">
        <f>IF($G219="","",IF(AND(OR($O219="Vet",$O219="Woman Vet"),ISERROR(MATCH($N219,Lge_Vets!$B:$B,0))),1,0))</f>
        <v/>
      </c>
      <c r="E219" s="2" t="str">
        <f>IF($G219="","",IF(AND(OR($O219="Junior",$O219="Woman Junior",$O219="Youth",$O219="Woman Youth"),ISERROR(MATCH($N219,Lge_Junior!$B:$B,0))),1,0))</f>
        <v/>
      </c>
      <c r="F219" s="2" t="str">
        <f>IF($G219="","",IF(AND(LEFT($O219,3)="You",ISERROR(MATCH($N219,Lge_Youth!$B:$B,0))),1,0))</f>
        <v/>
      </c>
      <c r="G219" s="3"/>
      <c r="H219" s="3"/>
      <c r="I219" s="3"/>
      <c r="J219" s="3"/>
      <c r="K219" s="6"/>
      <c r="L219" s="4"/>
      <c r="M219" s="4"/>
      <c r="N219" s="8"/>
      <c r="O219" s="8"/>
      <c r="P219" s="9"/>
      <c r="Q219" s="8"/>
      <c r="R219" s="8"/>
      <c r="S219" s="9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10"/>
    </row>
    <row r="220" spans="1:39" x14ac:dyDescent="0.2">
      <c r="A220" s="2" t="str">
        <f>IF($G220="","",IF(ISERROR(MATCH($N220,Lge_Scratch!$B:$B,0)),1,0))</f>
        <v/>
      </c>
      <c r="B220" s="2" t="str">
        <f>IF($G220="","",IF(AND(LEFT($Q220,8)="Non-aero",ISERROR(MATCH($N220,Lge_NonAero!$B:$B,0))),1,0))</f>
        <v/>
      </c>
      <c r="C220" s="5" t="str">
        <f>IF($G220="","",IF(AND(LEFT($O220,3)="Wom",ISERROR(MATCH($N220,Lge_Women!$B:$B,0))),1,0))</f>
        <v/>
      </c>
      <c r="D220" s="2" t="str">
        <f>IF($G220="","",IF(AND(OR($O220="Vet",$O220="Woman Vet"),ISERROR(MATCH($N220,Lge_Vets!$B:$B,0))),1,0))</f>
        <v/>
      </c>
      <c r="E220" s="2" t="str">
        <f>IF($G220="","",IF(AND(OR($O220="Junior",$O220="Woman Junior",$O220="Youth",$O220="Woman Youth"),ISERROR(MATCH($N220,Lge_Junior!$B:$B,0))),1,0))</f>
        <v/>
      </c>
      <c r="F220" s="2" t="str">
        <f>IF($G220="","",IF(AND(LEFT($O220,3)="You",ISERROR(MATCH($N220,Lge_Youth!$B:$B,0))),1,0))</f>
        <v/>
      </c>
      <c r="G220" s="3"/>
      <c r="H220" s="3"/>
      <c r="I220" s="3"/>
      <c r="J220" s="3"/>
      <c r="K220" s="6"/>
      <c r="L220" s="4"/>
      <c r="M220" s="4"/>
      <c r="N220" s="8"/>
      <c r="O220" s="8"/>
      <c r="P220" s="9"/>
      <c r="Q220" s="8"/>
      <c r="R220" s="8"/>
      <c r="S220" s="9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10"/>
    </row>
    <row r="221" spans="1:39" x14ac:dyDescent="0.2">
      <c r="A221" s="2" t="str">
        <f>IF($G221="","",IF(ISERROR(MATCH($N221,Lge_Scratch!$B:$B,0)),1,0))</f>
        <v/>
      </c>
      <c r="B221" s="2" t="str">
        <f>IF($G221="","",IF(AND(LEFT($Q221,8)="Non-aero",ISERROR(MATCH($N221,Lge_NonAero!$B:$B,0))),1,0))</f>
        <v/>
      </c>
      <c r="C221" s="5" t="str">
        <f>IF($G221="","",IF(AND(LEFT($O221,3)="Wom",ISERROR(MATCH($N221,Lge_Women!$B:$B,0))),1,0))</f>
        <v/>
      </c>
      <c r="D221" s="2" t="str">
        <f>IF($G221="","",IF(AND(OR($O221="Vet",$O221="Woman Vet"),ISERROR(MATCH($N221,Lge_Vets!$B:$B,0))),1,0))</f>
        <v/>
      </c>
      <c r="E221" s="2" t="str">
        <f>IF($G221="","",IF(AND(OR($O221="Junior",$O221="Woman Junior",$O221="Youth",$O221="Woman Youth"),ISERROR(MATCH($N221,Lge_Junior!$B:$B,0))),1,0))</f>
        <v/>
      </c>
      <c r="F221" s="2" t="str">
        <f>IF($G221="","",IF(AND(LEFT($O221,3)="You",ISERROR(MATCH($N221,Lge_Youth!$B:$B,0))),1,0))</f>
        <v/>
      </c>
      <c r="G221" s="3"/>
      <c r="H221" s="3"/>
      <c r="I221" s="3"/>
      <c r="J221" s="3"/>
      <c r="K221" s="6"/>
      <c r="L221" s="4"/>
      <c r="M221" s="4"/>
      <c r="N221" s="8"/>
      <c r="O221" s="8"/>
      <c r="P221" s="9"/>
      <c r="Q221" s="8"/>
      <c r="R221" s="8"/>
      <c r="S221" s="9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10"/>
    </row>
    <row r="222" spans="1:39" x14ac:dyDescent="0.2">
      <c r="A222" s="2" t="str">
        <f>IF($G222="","",IF(ISERROR(MATCH($N222,Lge_Scratch!$B:$B,0)),1,0))</f>
        <v/>
      </c>
      <c r="B222" s="2" t="str">
        <f>IF($G222="","",IF(AND(LEFT($Q222,8)="Non-aero",ISERROR(MATCH($N222,Lge_NonAero!$B:$B,0))),1,0))</f>
        <v/>
      </c>
      <c r="C222" s="5" t="str">
        <f>IF($G222="","",IF(AND(LEFT($O222,3)="Wom",ISERROR(MATCH($N222,Lge_Women!$B:$B,0))),1,0))</f>
        <v/>
      </c>
      <c r="D222" s="2" t="str">
        <f>IF($G222="","",IF(AND(OR($O222="Vet",$O222="Woman Vet"),ISERROR(MATCH($N222,Lge_Vets!$B:$B,0))),1,0))</f>
        <v/>
      </c>
      <c r="E222" s="2" t="str">
        <f>IF($G222="","",IF(AND(OR($O222="Junior",$O222="Woman Junior",$O222="Youth",$O222="Woman Youth"),ISERROR(MATCH($N222,Lge_Junior!$B:$B,0))),1,0))</f>
        <v/>
      </c>
      <c r="F222" s="2" t="str">
        <f>IF($G222="","",IF(AND(LEFT($O222,3)="You",ISERROR(MATCH($N222,Lge_Youth!$B:$B,0))),1,0))</f>
        <v/>
      </c>
      <c r="G222" s="3"/>
      <c r="H222" s="3"/>
      <c r="I222" s="3"/>
      <c r="J222" s="3"/>
      <c r="K222" s="6"/>
      <c r="L222" s="4"/>
      <c r="M222" s="4"/>
      <c r="N222" s="8"/>
      <c r="O222" s="8"/>
      <c r="P222" s="9"/>
      <c r="Q222" s="8"/>
      <c r="R222" s="8"/>
      <c r="S222" s="9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10"/>
    </row>
    <row r="223" spans="1:39" x14ac:dyDescent="0.2">
      <c r="A223" s="2" t="str">
        <f>IF($G223="","",IF(ISERROR(MATCH($N223,Lge_Scratch!$B:$B,0)),1,0))</f>
        <v/>
      </c>
      <c r="B223" s="2" t="str">
        <f>IF($G223="","",IF(AND(LEFT($Q223,8)="Non-aero",ISERROR(MATCH($N223,Lge_NonAero!$B:$B,0))),1,0))</f>
        <v/>
      </c>
      <c r="C223" s="5" t="str">
        <f>IF($G223="","",IF(AND(LEFT($O223,3)="Wom",ISERROR(MATCH($N223,Lge_Women!$B:$B,0))),1,0))</f>
        <v/>
      </c>
      <c r="D223" s="2" t="str">
        <f>IF($G223="","",IF(AND(OR($O223="Vet",$O223="Woman Vet"),ISERROR(MATCH($N223,Lge_Vets!$B:$B,0))),1,0))</f>
        <v/>
      </c>
      <c r="E223" s="2" t="str">
        <f>IF($G223="","",IF(AND(OR($O223="Junior",$O223="Woman Junior",$O223="Youth",$O223="Woman Youth"),ISERROR(MATCH($N223,Lge_Junior!$B:$B,0))),1,0))</f>
        <v/>
      </c>
      <c r="F223" s="2" t="str">
        <f>IF($G223="","",IF(AND(LEFT($O223,3)="You",ISERROR(MATCH($N223,Lge_Youth!$B:$B,0))),1,0))</f>
        <v/>
      </c>
      <c r="G223" s="3"/>
      <c r="H223" s="3"/>
      <c r="I223" s="3"/>
      <c r="J223" s="3"/>
      <c r="K223" s="6"/>
      <c r="L223" s="4"/>
      <c r="M223" s="4"/>
      <c r="N223" s="8"/>
      <c r="O223" s="8"/>
      <c r="P223" s="9"/>
      <c r="Q223" s="8"/>
      <c r="R223" s="8"/>
      <c r="S223" s="9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10"/>
    </row>
    <row r="224" spans="1:39" x14ac:dyDescent="0.2">
      <c r="A224" s="2" t="str">
        <f>IF($G224="","",IF(ISERROR(MATCH($N224,Lge_Scratch!$B:$B,0)),1,0))</f>
        <v/>
      </c>
      <c r="B224" s="2" t="str">
        <f>IF($G224="","",IF(AND(LEFT($Q224,8)="Non-aero",ISERROR(MATCH($N224,Lge_NonAero!$B:$B,0))),1,0))</f>
        <v/>
      </c>
      <c r="C224" s="5" t="str">
        <f>IF($G224="","",IF(AND(LEFT($O224,3)="Wom",ISERROR(MATCH($N224,Lge_Women!$B:$B,0))),1,0))</f>
        <v/>
      </c>
      <c r="D224" s="2" t="str">
        <f>IF($G224="","",IF(AND(OR($O224="Vet",$O224="Woman Vet"),ISERROR(MATCH($N224,Lge_Vets!$B:$B,0))),1,0))</f>
        <v/>
      </c>
      <c r="E224" s="2" t="str">
        <f>IF($G224="","",IF(AND(OR($O224="Junior",$O224="Woman Junior",$O224="Youth",$O224="Woman Youth"),ISERROR(MATCH($N224,Lge_Junior!$B:$B,0))),1,0))</f>
        <v/>
      </c>
      <c r="F224" s="2" t="str">
        <f>IF($G224="","",IF(AND(LEFT($O224,3)="You",ISERROR(MATCH($N224,Lge_Youth!$B:$B,0))),1,0))</f>
        <v/>
      </c>
      <c r="G224" s="3"/>
      <c r="H224" s="3"/>
      <c r="I224" s="3"/>
      <c r="J224" s="3"/>
      <c r="K224" s="6"/>
      <c r="L224" s="4"/>
      <c r="M224" s="4"/>
      <c r="N224" s="8"/>
      <c r="O224" s="8"/>
      <c r="P224" s="9"/>
      <c r="Q224" s="8"/>
      <c r="R224" s="8"/>
      <c r="S224" s="9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10"/>
    </row>
    <row r="225" spans="1:39" x14ac:dyDescent="0.2">
      <c r="A225" s="2" t="str">
        <f>IF($G225="","",IF(ISERROR(MATCH($N225,Lge_Scratch!$B:$B,0)),1,0))</f>
        <v/>
      </c>
      <c r="B225" s="2" t="str">
        <f>IF($G225="","",IF(AND(LEFT($Q225,8)="Non-aero",ISERROR(MATCH($N225,Lge_NonAero!$B:$B,0))),1,0))</f>
        <v/>
      </c>
      <c r="C225" s="5" t="str">
        <f>IF($G225="","",IF(AND(LEFT($O225,3)="Wom",ISERROR(MATCH($N225,Lge_Women!$B:$B,0))),1,0))</f>
        <v/>
      </c>
      <c r="D225" s="2" t="str">
        <f>IF($G225="","",IF(AND(OR($O225="Vet",$O225="Woman Vet"),ISERROR(MATCH($N225,Lge_Vets!$B:$B,0))),1,0))</f>
        <v/>
      </c>
      <c r="E225" s="2" t="str">
        <f>IF($G225="","",IF(AND(OR($O225="Junior",$O225="Woman Junior",$O225="Youth",$O225="Woman Youth"),ISERROR(MATCH($N225,Lge_Junior!$B:$B,0))),1,0))</f>
        <v/>
      </c>
      <c r="F225" s="2" t="str">
        <f>IF($G225="","",IF(AND(LEFT($O225,3)="You",ISERROR(MATCH($N225,Lge_Youth!$B:$B,0))),1,0))</f>
        <v/>
      </c>
      <c r="G225" s="3"/>
      <c r="H225" s="3"/>
      <c r="I225" s="3"/>
      <c r="J225" s="3"/>
      <c r="K225" s="6"/>
      <c r="L225" s="4"/>
      <c r="M225" s="4"/>
      <c r="N225" s="8"/>
      <c r="O225" s="8"/>
      <c r="P225" s="9"/>
      <c r="Q225" s="8"/>
      <c r="R225" s="8"/>
      <c r="S225" s="9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10"/>
    </row>
    <row r="226" spans="1:39" x14ac:dyDescent="0.2">
      <c r="A226" s="2" t="str">
        <f>IF($G226="","",IF(ISERROR(MATCH($N226,Lge_Scratch!$B:$B,0)),1,0))</f>
        <v/>
      </c>
      <c r="B226" s="2" t="str">
        <f>IF($G226="","",IF(AND(LEFT($Q226,8)="Non-aero",ISERROR(MATCH($N226,Lge_NonAero!$B:$B,0))),1,0))</f>
        <v/>
      </c>
      <c r="C226" s="5" t="str">
        <f>IF($G226="","",IF(AND(LEFT($O226,3)="Wom",ISERROR(MATCH($N226,Lge_Women!$B:$B,0))),1,0))</f>
        <v/>
      </c>
      <c r="D226" s="2" t="str">
        <f>IF($G226="","",IF(AND(OR($O226="Vet",$O226="Woman Vet"),ISERROR(MATCH($N226,Lge_Vets!$B:$B,0))),1,0))</f>
        <v/>
      </c>
      <c r="E226" s="2" t="str">
        <f>IF($G226="","",IF(AND(OR($O226="Junior",$O226="Woman Junior",$O226="Youth",$O226="Woman Youth"),ISERROR(MATCH($N226,Lge_Junior!$B:$B,0))),1,0))</f>
        <v/>
      </c>
      <c r="F226" s="2" t="str">
        <f>IF($G226="","",IF(AND(LEFT($O226,3)="You",ISERROR(MATCH($N226,Lge_Youth!$B:$B,0))),1,0))</f>
        <v/>
      </c>
      <c r="G226" s="3"/>
      <c r="H226" s="3"/>
      <c r="I226" s="3"/>
      <c r="J226" s="3"/>
      <c r="K226" s="6"/>
      <c r="L226" s="4"/>
      <c r="M226" s="4"/>
      <c r="N226" s="8"/>
      <c r="O226" s="8"/>
      <c r="P226" s="9"/>
      <c r="Q226" s="8"/>
      <c r="R226" s="8"/>
      <c r="S226" s="9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10"/>
    </row>
    <row r="227" spans="1:39" x14ac:dyDescent="0.2">
      <c r="A227" s="2" t="str">
        <f>IF($G227="","",IF(ISERROR(MATCH($N227,Lge_Scratch!$B:$B,0)),1,0))</f>
        <v/>
      </c>
      <c r="B227" s="2" t="str">
        <f>IF($G227="","",IF(AND(LEFT($Q227,8)="Non-aero",ISERROR(MATCH($N227,Lge_NonAero!$B:$B,0))),1,0))</f>
        <v/>
      </c>
      <c r="C227" s="5" t="str">
        <f>IF($G227="","",IF(AND(LEFT($O227,3)="Wom",ISERROR(MATCH($N227,Lge_Women!$B:$B,0))),1,0))</f>
        <v/>
      </c>
      <c r="D227" s="2" t="str">
        <f>IF($G227="","",IF(AND(OR($O227="Vet",$O227="Woman Vet"),ISERROR(MATCH($N227,Lge_Vets!$B:$B,0))),1,0))</f>
        <v/>
      </c>
      <c r="E227" s="2" t="str">
        <f>IF($G227="","",IF(AND(OR($O227="Junior",$O227="Woman Junior",$O227="Youth",$O227="Woman Youth"),ISERROR(MATCH($N227,Lge_Junior!$B:$B,0))),1,0))</f>
        <v/>
      </c>
      <c r="F227" s="2" t="str">
        <f>IF($G227="","",IF(AND(LEFT($O227,3)="You",ISERROR(MATCH($N227,Lge_Youth!$B:$B,0))),1,0))</f>
        <v/>
      </c>
      <c r="G227" s="3"/>
      <c r="H227" s="3"/>
      <c r="I227" s="3"/>
      <c r="J227" s="3"/>
      <c r="K227" s="6"/>
      <c r="L227" s="4"/>
      <c r="M227" s="4"/>
      <c r="N227" s="8"/>
      <c r="O227" s="8"/>
      <c r="P227" s="9"/>
      <c r="Q227" s="8"/>
      <c r="R227" s="8"/>
      <c r="S227" s="9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10"/>
    </row>
    <row r="228" spans="1:39" x14ac:dyDescent="0.2">
      <c r="A228" s="2" t="str">
        <f>IF($G228="","",IF(ISERROR(MATCH($N228,Lge_Scratch!$B:$B,0)),1,0))</f>
        <v/>
      </c>
      <c r="B228" s="2" t="str">
        <f>IF($G228="","",IF(AND(LEFT($Q228,8)="Non-aero",ISERROR(MATCH($N228,Lge_NonAero!$B:$B,0))),1,0))</f>
        <v/>
      </c>
      <c r="C228" s="5" t="str">
        <f>IF($G228="","",IF(AND(LEFT($O228,3)="Wom",ISERROR(MATCH($N228,Lge_Women!$B:$B,0))),1,0))</f>
        <v/>
      </c>
      <c r="D228" s="2" t="str">
        <f>IF($G228="","",IF(AND(OR($O228="Vet",$O228="Woman Vet"),ISERROR(MATCH($N228,Lge_Vets!$B:$B,0))),1,0))</f>
        <v/>
      </c>
      <c r="E228" s="2" t="str">
        <f>IF($G228="","",IF(AND(OR($O228="Junior",$O228="Woman Junior",$O228="Youth",$O228="Woman Youth"),ISERROR(MATCH($N228,Lge_Junior!$B:$B,0))),1,0))</f>
        <v/>
      </c>
      <c r="F228" s="2" t="str">
        <f>IF($G228="","",IF(AND(LEFT($O228,3)="You",ISERROR(MATCH($N228,Lge_Youth!$B:$B,0))),1,0))</f>
        <v/>
      </c>
      <c r="G228" s="3"/>
      <c r="H228" s="3"/>
      <c r="I228" s="3"/>
      <c r="J228" s="3"/>
      <c r="K228" s="6"/>
      <c r="L228" s="4"/>
      <c r="M228" s="4"/>
      <c r="N228" s="8"/>
      <c r="O228" s="8"/>
      <c r="P228" s="9"/>
      <c r="Q228" s="8"/>
      <c r="R228" s="8"/>
      <c r="S228" s="9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10"/>
    </row>
    <row r="229" spans="1:39" x14ac:dyDescent="0.2">
      <c r="A229" s="2" t="str">
        <f>IF($G229="","",IF(ISERROR(MATCH($N229,Lge_Scratch!$B:$B,0)),1,0))</f>
        <v/>
      </c>
      <c r="B229" s="2" t="str">
        <f>IF($G229="","",IF(AND(LEFT($Q229,8)="Non-aero",ISERROR(MATCH($N229,Lge_NonAero!$B:$B,0))),1,0))</f>
        <v/>
      </c>
      <c r="C229" s="5" t="str">
        <f>IF($G229="","",IF(AND(LEFT($O229,3)="Wom",ISERROR(MATCH($N229,Lge_Women!$B:$B,0))),1,0))</f>
        <v/>
      </c>
      <c r="D229" s="2" t="str">
        <f>IF($G229="","",IF(AND(OR($O229="Vet",$O229="Woman Vet"),ISERROR(MATCH($N229,Lge_Vets!$B:$B,0))),1,0))</f>
        <v/>
      </c>
      <c r="E229" s="2" t="str">
        <f>IF($G229="","",IF(AND(OR($O229="Junior",$O229="Woman Junior",$O229="Youth",$O229="Woman Youth"),ISERROR(MATCH($N229,Lge_Junior!$B:$B,0))),1,0))</f>
        <v/>
      </c>
      <c r="F229" s="2" t="str">
        <f>IF($G229="","",IF(AND(LEFT($O229,3)="You",ISERROR(MATCH($N229,Lge_Youth!$B:$B,0))),1,0))</f>
        <v/>
      </c>
      <c r="G229" s="3"/>
      <c r="H229" s="3"/>
      <c r="I229" s="3"/>
      <c r="J229" s="3"/>
      <c r="K229" s="6"/>
      <c r="L229" s="4"/>
      <c r="M229" s="4"/>
      <c r="N229" s="8"/>
      <c r="O229" s="8"/>
      <c r="P229" s="9"/>
      <c r="Q229" s="8"/>
      <c r="R229" s="8"/>
      <c r="S229" s="9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10"/>
    </row>
    <row r="230" spans="1:39" x14ac:dyDescent="0.2">
      <c r="A230" s="2" t="str">
        <f>IF($G230="","",IF(ISERROR(MATCH($N230,Lge_Scratch!$B:$B,0)),1,0))</f>
        <v/>
      </c>
      <c r="B230" s="2" t="str">
        <f>IF($G230="","",IF(AND(LEFT($Q230,8)="Non-aero",ISERROR(MATCH($N230,Lge_NonAero!$B:$B,0))),1,0))</f>
        <v/>
      </c>
      <c r="C230" s="5" t="str">
        <f>IF($G230="","",IF(AND(LEFT($O230,3)="Wom",ISERROR(MATCH($N230,Lge_Women!$B:$B,0))),1,0))</f>
        <v/>
      </c>
      <c r="D230" s="2" t="str">
        <f>IF($G230="","",IF(AND(OR($O230="Vet",$O230="Woman Vet"),ISERROR(MATCH($N230,Lge_Vets!$B:$B,0))),1,0))</f>
        <v/>
      </c>
      <c r="E230" s="2" t="str">
        <f>IF($G230="","",IF(AND(OR($O230="Junior",$O230="Woman Junior",$O230="Youth",$O230="Woman Youth"),ISERROR(MATCH($N230,Lge_Junior!$B:$B,0))),1,0))</f>
        <v/>
      </c>
      <c r="F230" s="2" t="str">
        <f>IF($G230="","",IF(AND(LEFT($O230,3)="You",ISERROR(MATCH($N230,Lge_Youth!$B:$B,0))),1,0))</f>
        <v/>
      </c>
      <c r="G230" s="3"/>
      <c r="H230" s="3"/>
      <c r="I230" s="3"/>
      <c r="J230" s="3"/>
      <c r="K230" s="6"/>
      <c r="L230" s="4"/>
      <c r="M230" s="4"/>
      <c r="N230" s="8"/>
      <c r="O230" s="8"/>
      <c r="P230" s="9"/>
      <c r="Q230" s="8"/>
      <c r="R230" s="8"/>
      <c r="S230" s="9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10"/>
    </row>
    <row r="231" spans="1:39" x14ac:dyDescent="0.2">
      <c r="A231" s="2" t="str">
        <f>IF($G231="","",IF(ISERROR(MATCH($N231,Lge_Scratch!$B:$B,0)),1,0))</f>
        <v/>
      </c>
      <c r="B231" s="2" t="str">
        <f>IF($G231="","",IF(AND(LEFT($Q231,8)="Non-aero",ISERROR(MATCH($N231,Lge_NonAero!$B:$B,0))),1,0))</f>
        <v/>
      </c>
      <c r="C231" s="5" t="str">
        <f>IF($G231="","",IF(AND(LEFT($O231,3)="Wom",ISERROR(MATCH($N231,Lge_Women!$B:$B,0))),1,0))</f>
        <v/>
      </c>
      <c r="D231" s="2" t="str">
        <f>IF($G231="","",IF(AND(OR($O231="Vet",$O231="Woman Vet"),ISERROR(MATCH($N231,Lge_Vets!$B:$B,0))),1,0))</f>
        <v/>
      </c>
      <c r="E231" s="2" t="str">
        <f>IF($G231="","",IF(AND(OR($O231="Junior",$O231="Woman Junior",$O231="Youth",$O231="Woman Youth"),ISERROR(MATCH($N231,Lge_Junior!$B:$B,0))),1,0))</f>
        <v/>
      </c>
      <c r="F231" s="2" t="str">
        <f>IF($G231="","",IF(AND(LEFT($O231,3)="You",ISERROR(MATCH($N231,Lge_Youth!$B:$B,0))),1,0))</f>
        <v/>
      </c>
      <c r="G231" s="3"/>
      <c r="H231" s="3"/>
      <c r="I231" s="3"/>
      <c r="J231" s="3"/>
      <c r="K231" s="6"/>
      <c r="L231" s="4"/>
      <c r="M231" s="4"/>
      <c r="N231" s="8"/>
      <c r="O231" s="8"/>
      <c r="P231" s="9"/>
      <c r="Q231" s="8"/>
      <c r="R231" s="8"/>
      <c r="S231" s="9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10"/>
    </row>
    <row r="232" spans="1:39" x14ac:dyDescent="0.2">
      <c r="A232" s="2" t="str">
        <f>IF($G232="","",IF(ISERROR(MATCH($N232,Lge_Scratch!$B:$B,0)),1,0))</f>
        <v/>
      </c>
      <c r="B232" s="2" t="str">
        <f>IF($G232="","",IF(AND(LEFT($Q232,8)="Non-aero",ISERROR(MATCH($N232,Lge_NonAero!$B:$B,0))),1,0))</f>
        <v/>
      </c>
      <c r="C232" s="5" t="str">
        <f>IF($G232="","",IF(AND(LEFT($O232,3)="Wom",ISERROR(MATCH($N232,Lge_Women!$B:$B,0))),1,0))</f>
        <v/>
      </c>
      <c r="D232" s="2" t="str">
        <f>IF($G232="","",IF(AND(OR($O232="Vet",$O232="Woman Vet"),ISERROR(MATCH($N232,Lge_Vets!$B:$B,0))),1,0))</f>
        <v/>
      </c>
      <c r="E232" s="2" t="str">
        <f>IF($G232="","",IF(AND(OR($O232="Junior",$O232="Woman Junior",$O232="Youth",$O232="Woman Youth"),ISERROR(MATCH($N232,Lge_Junior!$B:$B,0))),1,0))</f>
        <v/>
      </c>
      <c r="F232" s="2" t="str">
        <f>IF($G232="","",IF(AND(LEFT($O232,3)="You",ISERROR(MATCH($N232,Lge_Youth!$B:$B,0))),1,0))</f>
        <v/>
      </c>
      <c r="G232" s="3"/>
      <c r="H232" s="3"/>
      <c r="I232" s="3"/>
      <c r="J232" s="3"/>
      <c r="K232" s="6"/>
      <c r="L232" s="4"/>
      <c r="M232" s="4"/>
      <c r="N232" s="8"/>
      <c r="O232" s="8"/>
      <c r="P232" s="9"/>
      <c r="Q232" s="8"/>
      <c r="R232" s="8"/>
      <c r="S232" s="9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10"/>
    </row>
    <row r="233" spans="1:39" x14ac:dyDescent="0.2">
      <c r="A233" s="2" t="str">
        <f>IF($G233="","",IF(ISERROR(MATCH($N233,Lge_Scratch!$B:$B,0)),1,0))</f>
        <v/>
      </c>
      <c r="B233" s="2" t="str">
        <f>IF($G233="","",IF(AND(LEFT($Q233,8)="Non-aero",ISERROR(MATCH($N233,Lge_NonAero!$B:$B,0))),1,0))</f>
        <v/>
      </c>
      <c r="C233" s="5" t="str">
        <f>IF($G233="","",IF(AND(LEFT($O233,3)="Wom",ISERROR(MATCH($N233,Lge_Women!$B:$B,0))),1,0))</f>
        <v/>
      </c>
      <c r="D233" s="2" t="str">
        <f>IF($G233="","",IF(AND(OR($O233="Vet",$O233="Woman Vet"),ISERROR(MATCH($N233,Lge_Vets!$B:$B,0))),1,0))</f>
        <v/>
      </c>
      <c r="E233" s="2" t="str">
        <f>IF($G233="","",IF(AND(OR($O233="Junior",$O233="Woman Junior",$O233="Youth",$O233="Woman Youth"),ISERROR(MATCH($N233,Lge_Junior!$B:$B,0))),1,0))</f>
        <v/>
      </c>
      <c r="F233" s="2" t="str">
        <f>IF($G233="","",IF(AND(LEFT($O233,3)="You",ISERROR(MATCH($N233,Lge_Youth!$B:$B,0))),1,0))</f>
        <v/>
      </c>
      <c r="G233" s="3"/>
      <c r="H233" s="3"/>
      <c r="I233" s="3"/>
      <c r="J233" s="3"/>
      <c r="K233" s="6"/>
      <c r="L233" s="4"/>
      <c r="M233" s="4"/>
      <c r="N233" s="8"/>
      <c r="O233" s="8"/>
      <c r="P233" s="9"/>
      <c r="Q233" s="8"/>
      <c r="R233" s="8"/>
      <c r="S233" s="9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10"/>
    </row>
    <row r="234" spans="1:39" x14ac:dyDescent="0.2">
      <c r="A234" s="2" t="str">
        <f>IF($G234="","",IF(ISERROR(MATCH($N234,Lge_Scratch!$B:$B,0)),1,0))</f>
        <v/>
      </c>
      <c r="B234" s="2" t="str">
        <f>IF($G234="","",IF(AND(LEFT($Q234,8)="Non-aero",ISERROR(MATCH($N234,Lge_NonAero!$B:$B,0))),1,0))</f>
        <v/>
      </c>
      <c r="C234" s="5" t="str">
        <f>IF($G234="","",IF(AND(LEFT($O234,3)="Wom",ISERROR(MATCH($N234,Lge_Women!$B:$B,0))),1,0))</f>
        <v/>
      </c>
      <c r="D234" s="2" t="str">
        <f>IF($G234="","",IF(AND(OR($O234="Vet",$O234="Woman Vet"),ISERROR(MATCH($N234,Lge_Vets!$B:$B,0))),1,0))</f>
        <v/>
      </c>
      <c r="E234" s="2" t="str">
        <f>IF($G234="","",IF(AND(OR($O234="Junior",$O234="Woman Junior",$O234="Youth",$O234="Woman Youth"),ISERROR(MATCH($N234,Lge_Junior!$B:$B,0))),1,0))</f>
        <v/>
      </c>
      <c r="F234" s="2" t="str">
        <f>IF($G234="","",IF(AND(LEFT($O234,3)="You",ISERROR(MATCH($N234,Lge_Youth!$B:$B,0))),1,0))</f>
        <v/>
      </c>
      <c r="G234" s="3"/>
      <c r="H234" s="3"/>
      <c r="I234" s="3"/>
      <c r="J234" s="3"/>
      <c r="K234" s="6"/>
      <c r="L234" s="4"/>
      <c r="M234" s="4"/>
      <c r="N234" s="8"/>
      <c r="O234" s="8"/>
      <c r="P234" s="9"/>
      <c r="Q234" s="8"/>
      <c r="R234" s="8"/>
      <c r="S234" s="9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10"/>
    </row>
    <row r="235" spans="1:39" x14ac:dyDescent="0.2">
      <c r="A235" s="2" t="str">
        <f>IF($G235="","",IF(ISERROR(MATCH($N235,Lge_Scratch!$B:$B,0)),1,0))</f>
        <v/>
      </c>
      <c r="B235" s="2" t="str">
        <f>IF($G235="","",IF(AND(LEFT($Q235,8)="Non-aero",ISERROR(MATCH($N235,Lge_NonAero!$B:$B,0))),1,0))</f>
        <v/>
      </c>
      <c r="C235" s="5" t="str">
        <f>IF($G235="","",IF(AND(LEFT($O235,3)="Wom",ISERROR(MATCH($N235,Lge_Women!$B:$B,0))),1,0))</f>
        <v/>
      </c>
      <c r="D235" s="2" t="str">
        <f>IF($G235="","",IF(AND(OR($O235="Vet",$O235="Woman Vet"),ISERROR(MATCH($N235,Lge_Vets!$B:$B,0))),1,0))</f>
        <v/>
      </c>
      <c r="E235" s="2" t="str">
        <f>IF($G235="","",IF(AND(OR($O235="Junior",$O235="Woman Junior",$O235="Youth",$O235="Woman Youth"),ISERROR(MATCH($N235,Lge_Junior!$B:$B,0))),1,0))</f>
        <v/>
      </c>
      <c r="F235" s="2" t="str">
        <f>IF($G235="","",IF(AND(LEFT($O235,3)="You",ISERROR(MATCH($N235,Lge_Youth!$B:$B,0))),1,0))</f>
        <v/>
      </c>
      <c r="G235" s="3"/>
      <c r="H235" s="3"/>
      <c r="I235" s="3"/>
      <c r="J235" s="3"/>
      <c r="K235" s="6"/>
      <c r="L235" s="4"/>
      <c r="M235" s="4"/>
      <c r="N235" s="8"/>
      <c r="O235" s="8"/>
      <c r="P235" s="9"/>
      <c r="Q235" s="8"/>
      <c r="R235" s="8"/>
      <c r="S235" s="9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10"/>
    </row>
    <row r="236" spans="1:39" x14ac:dyDescent="0.2">
      <c r="A236" s="2" t="str">
        <f>IF($G236="","",IF(ISERROR(MATCH($N236,Lge_Scratch!$B:$B,0)),1,0))</f>
        <v/>
      </c>
      <c r="B236" s="2" t="str">
        <f>IF($G236="","",IF(AND(LEFT($Q236,8)="Non-aero",ISERROR(MATCH($N236,Lge_NonAero!$B:$B,0))),1,0))</f>
        <v/>
      </c>
      <c r="C236" s="5" t="str">
        <f>IF($G236="","",IF(AND(LEFT($O236,3)="Wom",ISERROR(MATCH($N236,Lge_Women!$B:$B,0))),1,0))</f>
        <v/>
      </c>
      <c r="D236" s="2" t="str">
        <f>IF($G236="","",IF(AND(OR($O236="Vet",$O236="Woman Vet"),ISERROR(MATCH($N236,Lge_Vets!$B:$B,0))),1,0))</f>
        <v/>
      </c>
      <c r="E236" s="2" t="str">
        <f>IF($G236="","",IF(AND(OR($O236="Junior",$O236="Woman Junior",$O236="Youth",$O236="Woman Youth"),ISERROR(MATCH($N236,Lge_Junior!$B:$B,0))),1,0))</f>
        <v/>
      </c>
      <c r="F236" s="2" t="str">
        <f>IF($G236="","",IF(AND(LEFT($O236,3)="You",ISERROR(MATCH($N236,Lge_Youth!$B:$B,0))),1,0))</f>
        <v/>
      </c>
      <c r="G236" s="3"/>
      <c r="H236" s="3"/>
      <c r="I236" s="3"/>
      <c r="J236" s="3"/>
      <c r="K236" s="6"/>
      <c r="L236" s="4"/>
      <c r="M236" s="4"/>
      <c r="N236" s="8"/>
      <c r="O236" s="8"/>
      <c r="P236" s="9"/>
      <c r="Q236" s="8"/>
      <c r="R236" s="8"/>
      <c r="S236" s="9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10"/>
    </row>
    <row r="237" spans="1:39" x14ac:dyDescent="0.2">
      <c r="A237" s="2" t="str">
        <f>IF($G237="","",IF(ISERROR(MATCH($N237,Lge_Scratch!$B:$B,0)),1,0))</f>
        <v/>
      </c>
      <c r="B237" s="2" t="str">
        <f>IF($G237="","",IF(AND(LEFT($Q237,8)="Non-aero",ISERROR(MATCH($N237,Lge_NonAero!$B:$B,0))),1,0))</f>
        <v/>
      </c>
      <c r="C237" s="5" t="str">
        <f>IF($G237="","",IF(AND(LEFT($O237,3)="Wom",ISERROR(MATCH($N237,Lge_Women!$B:$B,0))),1,0))</f>
        <v/>
      </c>
      <c r="D237" s="2" t="str">
        <f>IF($G237="","",IF(AND(OR($O237="Vet",$O237="Woman Vet"),ISERROR(MATCH($N237,Lge_Vets!$B:$B,0))),1,0))</f>
        <v/>
      </c>
      <c r="E237" s="2" t="str">
        <f>IF($G237="","",IF(AND(OR($O237="Junior",$O237="Woman Junior",$O237="Youth",$O237="Woman Youth"),ISERROR(MATCH($N237,Lge_Junior!$B:$B,0))),1,0))</f>
        <v/>
      </c>
      <c r="F237" s="2" t="str">
        <f>IF($G237="","",IF(AND(LEFT($O237,3)="You",ISERROR(MATCH($N237,Lge_Youth!$B:$B,0))),1,0))</f>
        <v/>
      </c>
      <c r="G237" s="3"/>
      <c r="H237" s="3"/>
      <c r="I237" s="3"/>
      <c r="J237" s="3"/>
      <c r="K237" s="6"/>
      <c r="L237" s="4"/>
      <c r="M237" s="4"/>
      <c r="N237" s="8"/>
      <c r="O237" s="8"/>
      <c r="P237" s="9"/>
      <c r="Q237" s="8"/>
      <c r="R237" s="8"/>
      <c r="S237" s="9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10"/>
    </row>
    <row r="238" spans="1:39" x14ac:dyDescent="0.2">
      <c r="A238" s="2" t="str">
        <f>IF($G238="","",IF(ISERROR(MATCH($N238,Lge_Scratch!$B:$B,0)),1,0))</f>
        <v/>
      </c>
      <c r="B238" s="2" t="str">
        <f>IF($G238="","",IF(AND(LEFT($Q238,8)="Non-aero",ISERROR(MATCH($N238,Lge_NonAero!$B:$B,0))),1,0))</f>
        <v/>
      </c>
      <c r="C238" s="5" t="str">
        <f>IF($G238="","",IF(AND(LEFT($O238,3)="Wom",ISERROR(MATCH($N238,Lge_Women!$B:$B,0))),1,0))</f>
        <v/>
      </c>
      <c r="D238" s="2" t="str">
        <f>IF($G238="","",IF(AND(OR($O238="Vet",$O238="Woman Vet"),ISERROR(MATCH($N238,Lge_Vets!$B:$B,0))),1,0))</f>
        <v/>
      </c>
      <c r="E238" s="2" t="str">
        <f>IF($G238="","",IF(AND(OR($O238="Junior",$O238="Woman Junior",$O238="Youth",$O238="Woman Youth"),ISERROR(MATCH($N238,Lge_Junior!$B:$B,0))),1,0))</f>
        <v/>
      </c>
      <c r="F238" s="2" t="str">
        <f>IF($G238="","",IF(AND(LEFT($O238,3)="You",ISERROR(MATCH($N238,Lge_Youth!$B:$B,0))),1,0))</f>
        <v/>
      </c>
      <c r="G238" s="3"/>
      <c r="H238" s="3"/>
      <c r="I238" s="3"/>
      <c r="J238" s="3"/>
      <c r="K238" s="6"/>
      <c r="L238" s="4"/>
      <c r="M238" s="4"/>
      <c r="N238" s="8"/>
      <c r="O238" s="8"/>
      <c r="P238" s="9"/>
      <c r="Q238" s="8"/>
      <c r="R238" s="8"/>
      <c r="S238" s="9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10"/>
    </row>
    <row r="239" spans="1:39" x14ac:dyDescent="0.2">
      <c r="A239" s="2" t="str">
        <f>IF($G239="","",IF(ISERROR(MATCH($N239,Lge_Scratch!$B:$B,0)),1,0))</f>
        <v/>
      </c>
      <c r="B239" s="2" t="str">
        <f>IF($G239="","",IF(AND(LEFT($Q239,8)="Non-aero",ISERROR(MATCH($N239,Lge_NonAero!$B:$B,0))),1,0))</f>
        <v/>
      </c>
      <c r="C239" s="5" t="str">
        <f>IF($G239="","",IF(AND(LEFT($O239,3)="Wom",ISERROR(MATCH($N239,Lge_Women!$B:$B,0))),1,0))</f>
        <v/>
      </c>
      <c r="D239" s="2" t="str">
        <f>IF($G239="","",IF(AND(OR($O239="Vet",$O239="Woman Vet"),ISERROR(MATCH($N239,Lge_Vets!$B:$B,0))),1,0))</f>
        <v/>
      </c>
      <c r="E239" s="2" t="str">
        <f>IF($G239="","",IF(AND(OR($O239="Junior",$O239="Woman Junior",$O239="Youth",$O239="Woman Youth"),ISERROR(MATCH($N239,Lge_Junior!$B:$B,0))),1,0))</f>
        <v/>
      </c>
      <c r="F239" s="2" t="str">
        <f>IF($G239="","",IF(AND(LEFT($O239,3)="You",ISERROR(MATCH($N239,Lge_Youth!$B:$B,0))),1,0))</f>
        <v/>
      </c>
      <c r="G239" s="3"/>
      <c r="H239" s="3"/>
      <c r="I239" s="3"/>
      <c r="J239" s="3"/>
      <c r="K239" s="6"/>
      <c r="L239" s="4"/>
      <c r="M239" s="4"/>
      <c r="N239" s="8"/>
      <c r="O239" s="8"/>
      <c r="P239" s="9"/>
      <c r="Q239" s="8"/>
      <c r="R239" s="8"/>
      <c r="S239" s="9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10"/>
    </row>
    <row r="240" spans="1:39" x14ac:dyDescent="0.2">
      <c r="A240" s="2" t="str">
        <f>IF($G240="","",IF(ISERROR(MATCH($N240,Lge_Scratch!$B:$B,0)),1,0))</f>
        <v/>
      </c>
      <c r="B240" s="2" t="str">
        <f>IF($G240="","",IF(AND(LEFT($Q240,8)="Non-aero",ISERROR(MATCH($N240,Lge_NonAero!$B:$B,0))),1,0))</f>
        <v/>
      </c>
      <c r="C240" s="5" t="str">
        <f>IF($G240="","",IF(AND(LEFT($O240,3)="Wom",ISERROR(MATCH($N240,Lge_Women!$B:$B,0))),1,0))</f>
        <v/>
      </c>
      <c r="D240" s="2" t="str">
        <f>IF($G240="","",IF(AND(OR($O240="Vet",$O240="Woman Vet"),ISERROR(MATCH($N240,Lge_Vets!$B:$B,0))),1,0))</f>
        <v/>
      </c>
      <c r="E240" s="2" t="str">
        <f>IF($G240="","",IF(AND(OR($O240="Junior",$O240="Woman Junior",$O240="Youth",$O240="Woman Youth"),ISERROR(MATCH($N240,Lge_Junior!$B:$B,0))),1,0))</f>
        <v/>
      </c>
      <c r="F240" s="2" t="str">
        <f>IF($G240="","",IF(AND(LEFT($O240,3)="You",ISERROR(MATCH($N240,Lge_Youth!$B:$B,0))),1,0))</f>
        <v/>
      </c>
      <c r="G240" s="3"/>
      <c r="H240" s="3"/>
      <c r="I240" s="3"/>
      <c r="J240" s="3"/>
      <c r="K240" s="6"/>
      <c r="L240" s="4"/>
      <c r="M240" s="4"/>
      <c r="N240" s="8"/>
      <c r="O240" s="8"/>
      <c r="P240" s="9"/>
      <c r="Q240" s="8"/>
      <c r="R240" s="8"/>
      <c r="S240" s="9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10"/>
    </row>
    <row r="241" spans="1:39" x14ac:dyDescent="0.2">
      <c r="A241" s="2" t="str">
        <f>IF($G241="","",IF(ISERROR(MATCH($N241,Lge_Scratch!$B:$B,0)),1,0))</f>
        <v/>
      </c>
      <c r="B241" s="2" t="str">
        <f>IF($G241="","",IF(AND(LEFT($Q241,8)="Non-aero",ISERROR(MATCH($N241,Lge_NonAero!$B:$B,0))),1,0))</f>
        <v/>
      </c>
      <c r="C241" s="5" t="str">
        <f>IF($G241="","",IF(AND(LEFT($O241,3)="Wom",ISERROR(MATCH($N241,Lge_Women!$B:$B,0))),1,0))</f>
        <v/>
      </c>
      <c r="D241" s="2" t="str">
        <f>IF($G241="","",IF(AND(OR($O241="Vet",$O241="Woman Vet"),ISERROR(MATCH($N241,Lge_Vets!$B:$B,0))),1,0))</f>
        <v/>
      </c>
      <c r="E241" s="2" t="str">
        <f>IF($G241="","",IF(AND(OR($O241="Junior",$O241="Woman Junior",$O241="Youth",$O241="Woman Youth"),ISERROR(MATCH($N241,Lge_Junior!$B:$B,0))),1,0))</f>
        <v/>
      </c>
      <c r="F241" s="2" t="str">
        <f>IF($G241="","",IF(AND(LEFT($O241,3)="You",ISERROR(MATCH($N241,Lge_Youth!$B:$B,0))),1,0))</f>
        <v/>
      </c>
      <c r="G241" s="3"/>
      <c r="H241" s="3"/>
      <c r="I241" s="3"/>
      <c r="J241" s="3"/>
      <c r="K241" s="6"/>
      <c r="L241" s="4"/>
      <c r="M241" s="4"/>
      <c r="N241" s="8"/>
      <c r="O241" s="8"/>
      <c r="P241" s="9"/>
      <c r="Q241" s="8"/>
      <c r="R241" s="8"/>
      <c r="S241" s="9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10"/>
    </row>
    <row r="242" spans="1:39" x14ac:dyDescent="0.2">
      <c r="A242" s="2" t="str">
        <f>IF($G242="","",IF(ISERROR(MATCH($N242,Lge_Scratch!$B:$B,0)),1,0))</f>
        <v/>
      </c>
      <c r="B242" s="2" t="str">
        <f>IF($G242="","",IF(AND(LEFT($Q242,8)="Non-aero",ISERROR(MATCH($N242,Lge_NonAero!$B:$B,0))),1,0))</f>
        <v/>
      </c>
      <c r="C242" s="5" t="str">
        <f>IF($G242="","",IF(AND(LEFT($O242,3)="Wom",ISERROR(MATCH($N242,Lge_Women!$B:$B,0))),1,0))</f>
        <v/>
      </c>
      <c r="D242" s="2" t="str">
        <f>IF($G242="","",IF(AND(OR($O242="Vet",$O242="Woman Vet"),ISERROR(MATCH($N242,Lge_Vets!$B:$B,0))),1,0))</f>
        <v/>
      </c>
      <c r="E242" s="2" t="str">
        <f>IF($G242="","",IF(AND(OR($O242="Junior",$O242="Woman Junior",$O242="Youth",$O242="Woman Youth"),ISERROR(MATCH($N242,Lge_Junior!$B:$B,0))),1,0))</f>
        <v/>
      </c>
      <c r="F242" s="2" t="str">
        <f>IF($G242="","",IF(AND(LEFT($O242,3)="You",ISERROR(MATCH($N242,Lge_Youth!$B:$B,0))),1,0))</f>
        <v/>
      </c>
      <c r="G242" s="3"/>
      <c r="H242" s="3"/>
      <c r="I242" s="3"/>
      <c r="J242" s="3"/>
      <c r="K242" s="6"/>
      <c r="L242" s="4"/>
      <c r="M242" s="4"/>
      <c r="N242" s="8"/>
      <c r="O242" s="8"/>
      <c r="P242" s="9"/>
      <c r="Q242" s="8"/>
      <c r="R242" s="8"/>
      <c r="S242" s="9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10"/>
    </row>
    <row r="243" spans="1:39" x14ac:dyDescent="0.2">
      <c r="A243" s="2" t="str">
        <f>IF($G243="","",IF(ISERROR(MATCH($N243,Lge_Scratch!$B:$B,0)),1,0))</f>
        <v/>
      </c>
      <c r="B243" s="2" t="str">
        <f>IF($G243="","",IF(AND(LEFT($Q243,8)="Non-aero",ISERROR(MATCH($N243,Lge_NonAero!$B:$B,0))),1,0))</f>
        <v/>
      </c>
      <c r="C243" s="5" t="str">
        <f>IF($G243="","",IF(AND(LEFT($O243,3)="Wom",ISERROR(MATCH($N243,Lge_Women!$B:$B,0))),1,0))</f>
        <v/>
      </c>
      <c r="D243" s="2" t="str">
        <f>IF($G243="","",IF(AND(OR($O243="Vet",$O243="Woman Vet"),ISERROR(MATCH($N243,Lge_Vets!$B:$B,0))),1,0))</f>
        <v/>
      </c>
      <c r="E243" s="2" t="str">
        <f>IF($G243="","",IF(AND(OR($O243="Junior",$O243="Woman Junior",$O243="Youth",$O243="Woman Youth"),ISERROR(MATCH($N243,Lge_Junior!$B:$B,0))),1,0))</f>
        <v/>
      </c>
      <c r="F243" s="2" t="str">
        <f>IF($G243="","",IF(AND(LEFT($O243,3)="You",ISERROR(MATCH($N243,Lge_Youth!$B:$B,0))),1,0))</f>
        <v/>
      </c>
      <c r="G243" s="3"/>
      <c r="H243" s="3"/>
      <c r="I243" s="3"/>
      <c r="J243" s="3"/>
      <c r="K243" s="6"/>
      <c r="L243" s="4"/>
      <c r="M243" s="4"/>
      <c r="N243" s="8"/>
      <c r="O243" s="8"/>
      <c r="P243" s="9"/>
      <c r="Q243" s="8"/>
      <c r="R243" s="8"/>
      <c r="S243" s="9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10"/>
    </row>
    <row r="244" spans="1:39" x14ac:dyDescent="0.2">
      <c r="A244" s="2" t="str">
        <f>IF($G244="","",IF(ISERROR(MATCH($N244,Lge_Scratch!$B:$B,0)),1,0))</f>
        <v/>
      </c>
      <c r="B244" s="2" t="str">
        <f>IF($G244="","",IF(AND(LEFT($Q244,8)="Non-aero",ISERROR(MATCH($N244,Lge_NonAero!$B:$B,0))),1,0))</f>
        <v/>
      </c>
      <c r="C244" s="5" t="str">
        <f>IF($G244="","",IF(AND(LEFT($O244,3)="Wom",ISERROR(MATCH($N244,Lge_Women!$B:$B,0))),1,0))</f>
        <v/>
      </c>
      <c r="D244" s="2" t="str">
        <f>IF($G244="","",IF(AND(OR($O244="Vet",$O244="Woman Vet"),ISERROR(MATCH($N244,Lge_Vets!$B:$B,0))),1,0))</f>
        <v/>
      </c>
      <c r="E244" s="2" t="str">
        <f>IF($G244="","",IF(AND(OR($O244="Junior",$O244="Woman Junior",$O244="Youth",$O244="Woman Youth"),ISERROR(MATCH($N244,Lge_Junior!$B:$B,0))),1,0))</f>
        <v/>
      </c>
      <c r="F244" s="2" t="str">
        <f>IF($G244="","",IF(AND(LEFT($O244,3)="You",ISERROR(MATCH($N244,Lge_Youth!$B:$B,0))),1,0))</f>
        <v/>
      </c>
      <c r="G244" s="3"/>
      <c r="H244" s="3"/>
      <c r="I244" s="3"/>
      <c r="J244" s="3"/>
      <c r="K244" s="6"/>
      <c r="L244" s="4"/>
      <c r="M244" s="4"/>
      <c r="N244" s="8"/>
      <c r="O244" s="8"/>
      <c r="P244" s="9"/>
      <c r="Q244" s="8"/>
      <c r="R244" s="8"/>
      <c r="S244" s="9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10"/>
    </row>
    <row r="245" spans="1:39" x14ac:dyDescent="0.2">
      <c r="A245" s="2" t="str">
        <f>IF($G245="","",IF(ISERROR(MATCH($N245,Lge_Scratch!$B:$B,0)),1,0))</f>
        <v/>
      </c>
      <c r="B245" s="2" t="str">
        <f>IF($G245="","",IF(AND(LEFT($Q245,8)="Non-aero",ISERROR(MATCH($N245,Lge_NonAero!$B:$B,0))),1,0))</f>
        <v/>
      </c>
      <c r="C245" s="5" t="str">
        <f>IF($G245="","",IF(AND(LEFT($O245,3)="Wom",ISERROR(MATCH($N245,Lge_Women!$B:$B,0))),1,0))</f>
        <v/>
      </c>
      <c r="D245" s="2" t="str">
        <f>IF($G245="","",IF(AND(OR($O245="Vet",$O245="Woman Vet"),ISERROR(MATCH($N245,Lge_Vets!$B:$B,0))),1,0))</f>
        <v/>
      </c>
      <c r="E245" s="2" t="str">
        <f>IF($G245="","",IF(AND(OR($O245="Junior",$O245="Woman Junior",$O245="Youth",$O245="Woman Youth"),ISERROR(MATCH($N245,Lge_Junior!$B:$B,0))),1,0))</f>
        <v/>
      </c>
      <c r="F245" s="2" t="str">
        <f>IF($G245="","",IF(AND(LEFT($O245,3)="You",ISERROR(MATCH($N245,Lge_Youth!$B:$B,0))),1,0))</f>
        <v/>
      </c>
      <c r="G245" s="3"/>
      <c r="H245" s="3"/>
      <c r="I245" s="3"/>
      <c r="J245" s="3"/>
      <c r="K245" s="6"/>
      <c r="L245" s="4"/>
      <c r="M245" s="4"/>
      <c r="N245" s="8"/>
      <c r="O245" s="8"/>
      <c r="P245" s="9"/>
      <c r="Q245" s="8"/>
      <c r="R245" s="8"/>
      <c r="S245" s="9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10"/>
    </row>
    <row r="246" spans="1:39" x14ac:dyDescent="0.2">
      <c r="A246" s="2" t="str">
        <f>IF($G246="","",IF(ISERROR(MATCH($N246,Lge_Scratch!$B:$B,0)),1,0))</f>
        <v/>
      </c>
      <c r="B246" s="2" t="str">
        <f>IF($G246="","",IF(AND(LEFT($Q246,8)="Non-aero",ISERROR(MATCH($N246,Lge_NonAero!$B:$B,0))),1,0))</f>
        <v/>
      </c>
      <c r="C246" s="5" t="str">
        <f>IF($G246="","",IF(AND(LEFT($O246,3)="Wom",ISERROR(MATCH($N246,Lge_Women!$B:$B,0))),1,0))</f>
        <v/>
      </c>
      <c r="D246" s="2" t="str">
        <f>IF($G246="","",IF(AND(OR($O246="Vet",$O246="Woman Vet"),ISERROR(MATCH($N246,Lge_Vets!$B:$B,0))),1,0))</f>
        <v/>
      </c>
      <c r="E246" s="2" t="str">
        <f>IF($G246="","",IF(AND(OR($O246="Junior",$O246="Woman Junior",$O246="Youth",$O246="Woman Youth"),ISERROR(MATCH($N246,Lge_Junior!$B:$B,0))),1,0))</f>
        <v/>
      </c>
      <c r="F246" s="2" t="str">
        <f>IF($G246="","",IF(AND(LEFT($O246,3)="You",ISERROR(MATCH($N246,Lge_Youth!$B:$B,0))),1,0))</f>
        <v/>
      </c>
      <c r="G246" s="3"/>
      <c r="H246" s="3"/>
      <c r="I246" s="3"/>
      <c r="J246" s="3"/>
      <c r="K246" s="6"/>
      <c r="L246" s="4"/>
      <c r="M246" s="4"/>
      <c r="N246" s="8"/>
      <c r="O246" s="8"/>
      <c r="P246" s="9"/>
      <c r="Q246" s="8"/>
      <c r="R246" s="8"/>
      <c r="S246" s="9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10"/>
    </row>
    <row r="247" spans="1:39" x14ac:dyDescent="0.2">
      <c r="A247" s="2" t="str">
        <f>IF($G247="","",IF(ISERROR(MATCH($N247,Lge_Scratch!$B:$B,0)),1,0))</f>
        <v/>
      </c>
      <c r="B247" s="2" t="str">
        <f>IF($G247="","",IF(AND(LEFT($Q247,8)="Non-aero",ISERROR(MATCH($N247,Lge_NonAero!$B:$B,0))),1,0))</f>
        <v/>
      </c>
      <c r="C247" s="5" t="str">
        <f>IF($G247="","",IF(AND(LEFT($O247,3)="Wom",ISERROR(MATCH($N247,Lge_Women!$B:$B,0))),1,0))</f>
        <v/>
      </c>
      <c r="D247" s="2" t="str">
        <f>IF($G247="","",IF(AND(OR($O247="Vet",$O247="Woman Vet"),ISERROR(MATCH($N247,Lge_Vets!$B:$B,0))),1,0))</f>
        <v/>
      </c>
      <c r="E247" s="2" t="str">
        <f>IF($G247="","",IF(AND(OR($O247="Junior",$O247="Woman Junior",$O247="Youth",$O247="Woman Youth"),ISERROR(MATCH($N247,Lge_Junior!$B:$B,0))),1,0))</f>
        <v/>
      </c>
      <c r="F247" s="2" t="str">
        <f>IF($G247="","",IF(AND(LEFT($O247,3)="You",ISERROR(MATCH($N247,Lge_Youth!$B:$B,0))),1,0))</f>
        <v/>
      </c>
      <c r="G247" s="3"/>
      <c r="H247" s="3"/>
      <c r="I247" s="3"/>
      <c r="J247" s="3"/>
      <c r="K247" s="6"/>
      <c r="L247" s="4"/>
      <c r="M247" s="4"/>
      <c r="N247" s="8"/>
      <c r="O247" s="8"/>
      <c r="P247" s="9"/>
      <c r="Q247" s="8"/>
      <c r="R247" s="8"/>
      <c r="S247" s="9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10"/>
    </row>
    <row r="248" spans="1:39" x14ac:dyDescent="0.2">
      <c r="A248" s="2" t="str">
        <f>IF($G248="","",IF(ISERROR(MATCH($N248,Lge_Scratch!$B:$B,0)),1,0))</f>
        <v/>
      </c>
      <c r="B248" s="2" t="str">
        <f>IF($G248="","",IF(AND(LEFT($Q248,8)="Non-aero",ISERROR(MATCH($N248,Lge_NonAero!$B:$B,0))),1,0))</f>
        <v/>
      </c>
      <c r="C248" s="5" t="str">
        <f>IF($G248="","",IF(AND(LEFT($O248,3)="Wom",ISERROR(MATCH($N248,Lge_Women!$B:$B,0))),1,0))</f>
        <v/>
      </c>
      <c r="D248" s="2" t="str">
        <f>IF($G248="","",IF(AND(OR($O248="Vet",$O248="Woman Vet"),ISERROR(MATCH($N248,Lge_Vets!$B:$B,0))),1,0))</f>
        <v/>
      </c>
      <c r="E248" s="2" t="str">
        <f>IF($G248="","",IF(AND(OR($O248="Junior",$O248="Woman Junior",$O248="Youth",$O248="Woman Youth"),ISERROR(MATCH($N248,Lge_Junior!$B:$B,0))),1,0))</f>
        <v/>
      </c>
      <c r="F248" s="2" t="str">
        <f>IF($G248="","",IF(AND(LEFT($O248,3)="You",ISERROR(MATCH($N248,Lge_Youth!$B:$B,0))),1,0))</f>
        <v/>
      </c>
      <c r="G248" s="3"/>
      <c r="H248" s="3"/>
      <c r="I248" s="3"/>
      <c r="J248" s="3"/>
      <c r="K248" s="6"/>
      <c r="L248" s="4"/>
      <c r="M248" s="4"/>
      <c r="N248" s="8"/>
      <c r="O248" s="8"/>
      <c r="P248" s="9"/>
      <c r="Q248" s="8"/>
      <c r="R248" s="8"/>
      <c r="S248" s="9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10"/>
    </row>
    <row r="249" spans="1:39" x14ac:dyDescent="0.2">
      <c r="A249" s="2" t="str">
        <f>IF($G249="","",IF(ISERROR(MATCH($N249,Lge_Scratch!$B:$B,0)),1,0))</f>
        <v/>
      </c>
      <c r="B249" s="2" t="str">
        <f>IF($G249="","",IF(AND(LEFT($Q249,8)="Non-aero",ISERROR(MATCH($N249,Lge_NonAero!$B:$B,0))),1,0))</f>
        <v/>
      </c>
      <c r="C249" s="5" t="str">
        <f>IF($G249="","",IF(AND(LEFT($O249,3)="Wom",ISERROR(MATCH($N249,Lge_Women!$B:$B,0))),1,0))</f>
        <v/>
      </c>
      <c r="D249" s="2" t="str">
        <f>IF($G249="","",IF(AND(OR($O249="Vet",$O249="Woman Vet"),ISERROR(MATCH($N249,Lge_Vets!$B:$B,0))),1,0))</f>
        <v/>
      </c>
      <c r="E249" s="2" t="str">
        <f>IF($G249="","",IF(AND(OR($O249="Junior",$O249="Woman Junior",$O249="Youth",$O249="Woman Youth"),ISERROR(MATCH($N249,Lge_Junior!$B:$B,0))),1,0))</f>
        <v/>
      </c>
      <c r="F249" s="2" t="str">
        <f>IF($G249="","",IF(AND(LEFT($O249,3)="You",ISERROR(MATCH($N249,Lge_Youth!$B:$B,0))),1,0))</f>
        <v/>
      </c>
      <c r="G249" s="3"/>
      <c r="H249" s="3"/>
      <c r="I249" s="3"/>
      <c r="J249" s="3"/>
      <c r="K249" s="6"/>
      <c r="L249" s="4"/>
      <c r="M249" s="4"/>
      <c r="N249" s="8"/>
      <c r="O249" s="8"/>
      <c r="P249" s="9"/>
      <c r="Q249" s="8"/>
      <c r="R249" s="8"/>
      <c r="S249" s="9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10"/>
    </row>
    <row r="250" spans="1:39" x14ac:dyDescent="0.2">
      <c r="A250" s="2" t="str">
        <f>IF($G250="","",IF(ISERROR(MATCH($N250,Lge_Scratch!$B:$B,0)),1,0))</f>
        <v/>
      </c>
      <c r="B250" s="2" t="str">
        <f>IF($G250="","",IF(AND(LEFT($Q250,8)="Non-aero",ISERROR(MATCH($N250,Lge_NonAero!$B:$B,0))),1,0))</f>
        <v/>
      </c>
      <c r="C250" s="5" t="str">
        <f>IF($G250="","",IF(AND(LEFT($O250,3)="Wom",ISERROR(MATCH($N250,Lge_Women!$B:$B,0))),1,0))</f>
        <v/>
      </c>
      <c r="D250" s="2" t="str">
        <f>IF($G250="","",IF(AND(OR($O250="Vet",$O250="Woman Vet"),ISERROR(MATCH($N250,Lge_Vets!$B:$B,0))),1,0))</f>
        <v/>
      </c>
      <c r="E250" s="2" t="str">
        <f>IF($G250="","",IF(AND(OR($O250="Junior",$O250="Woman Junior",$O250="Youth",$O250="Woman Youth"),ISERROR(MATCH($N250,Lge_Junior!$B:$B,0))),1,0))</f>
        <v/>
      </c>
      <c r="F250" s="2" t="str">
        <f>IF($G250="","",IF(AND(LEFT($O250,3)="You",ISERROR(MATCH($N250,Lge_Youth!$B:$B,0))),1,0))</f>
        <v/>
      </c>
      <c r="G250" s="3"/>
      <c r="H250" s="3"/>
      <c r="I250" s="3"/>
      <c r="J250" s="3"/>
      <c r="K250" s="6"/>
      <c r="L250" s="4"/>
      <c r="M250" s="4"/>
      <c r="N250" s="8"/>
      <c r="O250" s="8"/>
      <c r="P250" s="9"/>
      <c r="Q250" s="8"/>
      <c r="R250" s="8"/>
      <c r="S250" s="9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10"/>
    </row>
    <row r="251" spans="1:39" x14ac:dyDescent="0.2">
      <c r="A251" s="2" t="str">
        <f>IF($G251="","",IF(ISERROR(MATCH($N251,Lge_Scratch!$B:$B,0)),1,0))</f>
        <v/>
      </c>
      <c r="B251" s="2" t="str">
        <f>IF($G251="","",IF(AND(LEFT($Q251,8)="Non-aero",ISERROR(MATCH($N251,Lge_NonAero!$B:$B,0))),1,0))</f>
        <v/>
      </c>
      <c r="C251" s="5" t="str">
        <f>IF($G251="","",IF(AND(LEFT($O251,3)="Wom",ISERROR(MATCH($N251,Lge_Women!$B:$B,0))),1,0))</f>
        <v/>
      </c>
      <c r="D251" s="2" t="str">
        <f>IF($G251="","",IF(AND(OR($O251="Vet",$O251="Woman Vet"),ISERROR(MATCH($N251,Lge_Vets!$B:$B,0))),1,0))</f>
        <v/>
      </c>
      <c r="E251" s="2" t="str">
        <f>IF($G251="","",IF(AND(OR($O251="Junior",$O251="Woman Junior",$O251="Youth",$O251="Woman Youth"),ISERROR(MATCH($N251,Lge_Junior!$B:$B,0))),1,0))</f>
        <v/>
      </c>
      <c r="F251" s="2" t="str">
        <f>IF($G251="","",IF(AND(LEFT($O251,3)="You",ISERROR(MATCH($N251,Lge_Youth!$B:$B,0))),1,0))</f>
        <v/>
      </c>
      <c r="G251" s="3"/>
      <c r="H251" s="3"/>
      <c r="I251" s="3"/>
      <c r="J251" s="3"/>
      <c r="K251" s="6"/>
      <c r="L251" s="4"/>
      <c r="M251" s="4"/>
      <c r="N251" s="8"/>
      <c r="O251" s="8"/>
      <c r="P251" s="9"/>
      <c r="Q251" s="8"/>
      <c r="R251" s="8"/>
      <c r="S251" s="9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10"/>
    </row>
    <row r="252" spans="1:39" x14ac:dyDescent="0.2">
      <c r="A252" s="2" t="str">
        <f>IF($G252="","",IF(ISERROR(MATCH($N252,Lge_Scratch!$B:$B,0)),1,0))</f>
        <v/>
      </c>
      <c r="B252" s="2" t="str">
        <f>IF($G252="","",IF(AND(LEFT($Q252,8)="Non-aero",ISERROR(MATCH($N252,Lge_NonAero!$B:$B,0))),1,0))</f>
        <v/>
      </c>
      <c r="C252" s="5" t="str">
        <f>IF($G252="","",IF(AND(LEFT($O252,3)="Wom",ISERROR(MATCH($N252,Lge_Women!$B:$B,0))),1,0))</f>
        <v/>
      </c>
      <c r="D252" s="2" t="str">
        <f>IF($G252="","",IF(AND(OR($O252="Vet",$O252="Woman Vet"),ISERROR(MATCH($N252,Lge_Vets!$B:$B,0))),1,0))</f>
        <v/>
      </c>
      <c r="E252" s="2" t="str">
        <f>IF($G252="","",IF(AND(OR($O252="Junior",$O252="Woman Junior",$O252="Youth",$O252="Woman Youth"),ISERROR(MATCH($N252,Lge_Junior!$B:$B,0))),1,0))</f>
        <v/>
      </c>
      <c r="F252" s="2" t="str">
        <f>IF($G252="","",IF(AND(LEFT($O252,3)="You",ISERROR(MATCH($N252,Lge_Youth!$B:$B,0))),1,0))</f>
        <v/>
      </c>
      <c r="G252" s="3"/>
      <c r="H252" s="3"/>
      <c r="I252" s="3"/>
      <c r="J252" s="3"/>
      <c r="K252" s="6"/>
      <c r="L252" s="4"/>
      <c r="M252" s="4"/>
      <c r="N252" s="8"/>
      <c r="O252" s="8"/>
      <c r="P252" s="9"/>
      <c r="Q252" s="8"/>
      <c r="R252" s="8"/>
      <c r="S252" s="9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10"/>
    </row>
    <row r="253" spans="1:39" x14ac:dyDescent="0.2">
      <c r="A253" s="2" t="str">
        <f>IF($G253="","",IF(ISERROR(MATCH($N253,Lge_Scratch!$B:$B,0)),1,0))</f>
        <v/>
      </c>
      <c r="B253" s="2" t="str">
        <f>IF($G253="","",IF(AND(LEFT($Q253,8)="Non-aero",ISERROR(MATCH($N253,Lge_NonAero!$B:$B,0))),1,0))</f>
        <v/>
      </c>
      <c r="C253" s="5" t="str">
        <f>IF($G253="","",IF(AND(LEFT($O253,3)="Wom",ISERROR(MATCH($N253,Lge_Women!$B:$B,0))),1,0))</f>
        <v/>
      </c>
      <c r="D253" s="2" t="str">
        <f>IF($G253="","",IF(AND(OR($O253="Vet",$O253="Woman Vet"),ISERROR(MATCH($N253,Lge_Vets!$B:$B,0))),1,0))</f>
        <v/>
      </c>
      <c r="E253" s="2" t="str">
        <f>IF($G253="","",IF(AND(OR($O253="Junior",$O253="Woman Junior",$O253="Youth",$O253="Woman Youth"),ISERROR(MATCH($N253,Lge_Junior!$B:$B,0))),1,0))</f>
        <v/>
      </c>
      <c r="F253" s="2" t="str">
        <f>IF($G253="","",IF(AND(LEFT($O253,3)="You",ISERROR(MATCH($N253,Lge_Youth!$B:$B,0))),1,0))</f>
        <v/>
      </c>
      <c r="G253" s="3"/>
      <c r="H253" s="3"/>
      <c r="I253" s="3"/>
      <c r="J253" s="3"/>
      <c r="K253" s="6"/>
      <c r="L253" s="4"/>
      <c r="M253" s="4"/>
      <c r="N253" s="8"/>
      <c r="O253" s="8"/>
      <c r="P253" s="9"/>
      <c r="Q253" s="8"/>
      <c r="R253" s="8"/>
      <c r="S253" s="9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10"/>
    </row>
    <row r="254" spans="1:39" x14ac:dyDescent="0.2">
      <c r="A254" s="2" t="str">
        <f>IF($G254="","",IF(ISERROR(MATCH($N254,Lge_Scratch!$B:$B,0)),1,0))</f>
        <v/>
      </c>
      <c r="B254" s="2" t="str">
        <f>IF($G254="","",IF(AND(LEFT($Q254,8)="Non-aero",ISERROR(MATCH($N254,Lge_NonAero!$B:$B,0))),1,0))</f>
        <v/>
      </c>
      <c r="C254" s="5" t="str">
        <f>IF($G254="","",IF(AND(LEFT($O254,3)="Wom",ISERROR(MATCH($N254,Lge_Women!$B:$B,0))),1,0))</f>
        <v/>
      </c>
      <c r="D254" s="2" t="str">
        <f>IF($G254="","",IF(AND(OR($O254="Vet",$O254="Woman Vet"),ISERROR(MATCH($N254,Lge_Vets!$B:$B,0))),1,0))</f>
        <v/>
      </c>
      <c r="E254" s="2" t="str">
        <f>IF($G254="","",IF(AND(OR($O254="Junior",$O254="Woman Junior",$O254="Youth",$O254="Woman Youth"),ISERROR(MATCH($N254,Lge_Junior!$B:$B,0))),1,0))</f>
        <v/>
      </c>
      <c r="F254" s="2" t="str">
        <f>IF($G254="","",IF(AND(LEFT($O254,3)="You",ISERROR(MATCH($N254,Lge_Youth!$B:$B,0))),1,0))</f>
        <v/>
      </c>
      <c r="G254" s="3"/>
      <c r="H254" s="3"/>
      <c r="I254" s="3"/>
      <c r="J254" s="3"/>
      <c r="K254" s="6"/>
      <c r="L254" s="4"/>
      <c r="M254" s="4"/>
      <c r="N254" s="8"/>
      <c r="O254" s="8"/>
      <c r="P254" s="9"/>
      <c r="Q254" s="8"/>
      <c r="R254" s="8"/>
      <c r="S254" s="9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10"/>
    </row>
    <row r="255" spans="1:39" x14ac:dyDescent="0.2">
      <c r="A255" s="2" t="str">
        <f>IF($G255="","",IF(ISERROR(MATCH($N255,Lge_Scratch!$B:$B,0)),1,0))</f>
        <v/>
      </c>
      <c r="B255" s="2" t="str">
        <f>IF($G255="","",IF(AND(LEFT($Q255,8)="Non-aero",ISERROR(MATCH($N255,Lge_NonAero!$B:$B,0))),1,0))</f>
        <v/>
      </c>
      <c r="C255" s="5" t="str">
        <f>IF($G255="","",IF(AND(LEFT($O255,3)="Wom",ISERROR(MATCH($N255,Lge_Women!$B:$B,0))),1,0))</f>
        <v/>
      </c>
      <c r="D255" s="2" t="str">
        <f>IF($G255="","",IF(AND(OR($O255="Vet",$O255="Woman Vet"),ISERROR(MATCH($N255,Lge_Vets!$B:$B,0))),1,0))</f>
        <v/>
      </c>
      <c r="E255" s="2" t="str">
        <f>IF($G255="","",IF(AND(OR($O255="Junior",$O255="Woman Junior",$O255="Youth",$O255="Woman Youth"),ISERROR(MATCH($N255,Lge_Junior!$B:$B,0))),1,0))</f>
        <v/>
      </c>
      <c r="F255" s="2" t="str">
        <f>IF($G255="","",IF(AND(LEFT($O255,3)="You",ISERROR(MATCH($N255,Lge_Youth!$B:$B,0))),1,0))</f>
        <v/>
      </c>
      <c r="G255" s="3"/>
      <c r="H255" s="3"/>
      <c r="I255" s="3"/>
      <c r="J255" s="3"/>
      <c r="K255" s="6"/>
      <c r="L255" s="4"/>
      <c r="M255" s="4"/>
      <c r="N255" s="8"/>
      <c r="O255" s="8"/>
      <c r="P255" s="9"/>
      <c r="Q255" s="8"/>
      <c r="R255" s="8"/>
      <c r="S255" s="9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10"/>
    </row>
    <row r="256" spans="1:39" x14ac:dyDescent="0.2">
      <c r="A256" s="2" t="str">
        <f>IF($G256="","",IF(ISERROR(MATCH($N256,Lge_Scratch!$B:$B,0)),1,0))</f>
        <v/>
      </c>
      <c r="B256" s="2" t="str">
        <f>IF($G256="","",IF(AND(LEFT($Q256,8)="Non-aero",ISERROR(MATCH($N256,Lge_NonAero!$B:$B,0))),1,0))</f>
        <v/>
      </c>
      <c r="C256" s="5" t="str">
        <f>IF($G256="","",IF(AND(LEFT($O256,3)="Wom",ISERROR(MATCH($N256,Lge_Women!$B:$B,0))),1,0))</f>
        <v/>
      </c>
      <c r="D256" s="2" t="str">
        <f>IF($G256="","",IF(AND(OR($O256="Vet",$O256="Woman Vet"),ISERROR(MATCH($N256,Lge_Vets!$B:$B,0))),1,0))</f>
        <v/>
      </c>
      <c r="E256" s="2" t="str">
        <f>IF($G256="","",IF(AND(OR($O256="Junior",$O256="Woman Junior",$O256="Youth",$O256="Woman Youth"),ISERROR(MATCH($N256,Lge_Junior!$B:$B,0))),1,0))</f>
        <v/>
      </c>
      <c r="F256" s="2" t="str">
        <f>IF($G256="","",IF(AND(LEFT($O256,3)="You",ISERROR(MATCH($N256,Lge_Youth!$B:$B,0))),1,0))</f>
        <v/>
      </c>
      <c r="G256" s="3"/>
      <c r="H256" s="3"/>
      <c r="I256" s="3"/>
      <c r="J256" s="3"/>
      <c r="K256" s="6"/>
      <c r="L256" s="4"/>
      <c r="M256" s="4"/>
      <c r="N256" s="8"/>
      <c r="O256" s="8"/>
      <c r="P256" s="9"/>
      <c r="Q256" s="8"/>
      <c r="R256" s="8"/>
      <c r="S256" s="9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10"/>
    </row>
    <row r="257" spans="1:39" x14ac:dyDescent="0.2">
      <c r="A257" s="2" t="str">
        <f>IF($G257="","",IF(ISERROR(MATCH($N257,Lge_Scratch!$B:$B,0)),1,0))</f>
        <v/>
      </c>
      <c r="B257" s="2" t="str">
        <f>IF($G257="","",IF(AND(LEFT($Q257,8)="Non-aero",ISERROR(MATCH($N257,Lge_NonAero!$B:$B,0))),1,0))</f>
        <v/>
      </c>
      <c r="C257" s="5" t="str">
        <f>IF($G257="","",IF(AND(LEFT($O257,3)="Wom",ISERROR(MATCH($N257,Lge_Women!$B:$B,0))),1,0))</f>
        <v/>
      </c>
      <c r="D257" s="2" t="str">
        <f>IF($G257="","",IF(AND(OR($O257="Vet",$O257="Woman Vet"),ISERROR(MATCH($N257,Lge_Vets!$B:$B,0))),1,0))</f>
        <v/>
      </c>
      <c r="E257" s="2" t="str">
        <f>IF($G257="","",IF(AND(OR($O257="Junior",$O257="Woman Junior",$O257="Youth",$O257="Woman Youth"),ISERROR(MATCH($N257,Lge_Junior!$B:$B,0))),1,0))</f>
        <v/>
      </c>
      <c r="F257" s="2" t="str">
        <f>IF($G257="","",IF(AND(LEFT($O257,3)="You",ISERROR(MATCH($N257,Lge_Youth!$B:$B,0))),1,0))</f>
        <v/>
      </c>
      <c r="G257" s="3"/>
      <c r="H257" s="3"/>
      <c r="I257" s="3"/>
      <c r="J257" s="3"/>
      <c r="K257" s="6"/>
      <c r="L257" s="4"/>
      <c r="M257" s="4"/>
      <c r="N257" s="8"/>
      <c r="O257" s="8"/>
      <c r="P257" s="9"/>
      <c r="Q257" s="8"/>
      <c r="R257" s="8"/>
      <c r="S257" s="9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10"/>
    </row>
    <row r="258" spans="1:39" x14ac:dyDescent="0.2">
      <c r="A258" s="2" t="str">
        <f>IF($G258="","",IF(ISERROR(MATCH($N258,Lge_Scratch!$B:$B,0)),1,0))</f>
        <v/>
      </c>
      <c r="B258" s="2" t="str">
        <f>IF($G258="","",IF(AND(LEFT($Q258,8)="Non-aero",ISERROR(MATCH($N258,Lge_NonAero!$B:$B,0))),1,0))</f>
        <v/>
      </c>
      <c r="C258" s="5" t="str">
        <f>IF($G258="","",IF(AND(LEFT($O258,3)="Wom",ISERROR(MATCH($N258,Lge_Women!$B:$B,0))),1,0))</f>
        <v/>
      </c>
      <c r="D258" s="2" t="str">
        <f>IF($G258="","",IF(AND(OR($O258="Vet",$O258="Woman Vet"),ISERROR(MATCH($N258,Lge_Vets!$B:$B,0))),1,0))</f>
        <v/>
      </c>
      <c r="E258" s="2" t="str">
        <f>IF($G258="","",IF(AND(OR($O258="Junior",$O258="Woman Junior",$O258="Youth",$O258="Woman Youth"),ISERROR(MATCH($N258,Lge_Junior!$B:$B,0))),1,0))</f>
        <v/>
      </c>
      <c r="F258" s="2" t="str">
        <f>IF($G258="","",IF(AND(LEFT($O258,3)="You",ISERROR(MATCH($N258,Lge_Youth!$B:$B,0))),1,0))</f>
        <v/>
      </c>
      <c r="G258" s="3"/>
      <c r="H258" s="3"/>
      <c r="I258" s="3"/>
      <c r="J258" s="3"/>
      <c r="K258" s="6"/>
      <c r="L258" s="4"/>
      <c r="M258" s="4"/>
      <c r="N258" s="8"/>
      <c r="O258" s="8"/>
      <c r="P258" s="9"/>
      <c r="Q258" s="8"/>
      <c r="R258" s="8"/>
      <c r="S258" s="9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10"/>
    </row>
    <row r="259" spans="1:39" x14ac:dyDescent="0.2">
      <c r="A259" s="2" t="str">
        <f>IF($G259="","",IF(ISERROR(MATCH($N259,Lge_Scratch!$B:$B,0)),1,0))</f>
        <v/>
      </c>
      <c r="B259" s="2" t="str">
        <f>IF($G259="","",IF(AND(LEFT($Q259,8)="Non-aero",ISERROR(MATCH($N259,Lge_NonAero!$B:$B,0))),1,0))</f>
        <v/>
      </c>
      <c r="C259" s="5" t="str">
        <f>IF($G259="","",IF(AND(LEFT($O259,3)="Wom",ISERROR(MATCH($N259,Lge_Women!$B:$B,0))),1,0))</f>
        <v/>
      </c>
      <c r="D259" s="2" t="str">
        <f>IF($G259="","",IF(AND(OR($O259="Vet",$O259="Woman Vet"),ISERROR(MATCH($N259,Lge_Vets!$B:$B,0))),1,0))</f>
        <v/>
      </c>
      <c r="E259" s="2" t="str">
        <f>IF($G259="","",IF(AND(OR($O259="Junior",$O259="Woman Junior",$O259="Youth",$O259="Woman Youth"),ISERROR(MATCH($N259,Lge_Junior!$B:$B,0))),1,0))</f>
        <v/>
      </c>
      <c r="F259" s="2" t="str">
        <f>IF($G259="","",IF(AND(LEFT($O259,3)="You",ISERROR(MATCH($N259,Lge_Youth!$B:$B,0))),1,0))</f>
        <v/>
      </c>
      <c r="G259" s="3"/>
      <c r="H259" s="3"/>
      <c r="I259" s="3"/>
      <c r="J259" s="3"/>
      <c r="K259" s="6"/>
      <c r="L259" s="4"/>
      <c r="M259" s="4"/>
      <c r="N259" s="8"/>
      <c r="O259" s="8"/>
      <c r="P259" s="9"/>
      <c r="Q259" s="8"/>
      <c r="R259" s="8"/>
      <c r="S259" s="9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10"/>
    </row>
    <row r="260" spans="1:39" x14ac:dyDescent="0.2">
      <c r="A260" s="2" t="str">
        <f>IF($G260="","",IF(ISERROR(MATCH($N260,Lge_Scratch!$B:$B,0)),1,0))</f>
        <v/>
      </c>
      <c r="B260" s="2" t="str">
        <f>IF($G260="","",IF(AND(LEFT($Q260,8)="Non-aero",ISERROR(MATCH($N260,Lge_NonAero!$B:$B,0))),1,0))</f>
        <v/>
      </c>
      <c r="C260" s="5" t="str">
        <f>IF($G260="","",IF(AND(LEFT($O260,3)="Wom",ISERROR(MATCH($N260,Lge_Women!$B:$B,0))),1,0))</f>
        <v/>
      </c>
      <c r="D260" s="2" t="str">
        <f>IF($G260="","",IF(AND(OR($O260="Vet",$O260="Woman Vet"),ISERROR(MATCH($N260,Lge_Vets!$B:$B,0))),1,0))</f>
        <v/>
      </c>
      <c r="E260" s="2" t="str">
        <f>IF($G260="","",IF(AND(OR($O260="Junior",$O260="Woman Junior",$O260="Youth",$O260="Woman Youth"),ISERROR(MATCH($N260,Lge_Junior!$B:$B,0))),1,0))</f>
        <v/>
      </c>
      <c r="F260" s="2" t="str">
        <f>IF($G260="","",IF(AND(LEFT($O260,3)="You",ISERROR(MATCH($N260,Lge_Youth!$B:$B,0))),1,0))</f>
        <v/>
      </c>
      <c r="G260" s="3"/>
      <c r="H260" s="3"/>
      <c r="I260" s="3"/>
      <c r="J260" s="3"/>
      <c r="K260" s="6"/>
      <c r="L260" s="4"/>
      <c r="M260" s="4"/>
      <c r="N260" s="8"/>
      <c r="O260" s="8"/>
      <c r="P260" s="9"/>
      <c r="Q260" s="8"/>
      <c r="R260" s="8"/>
      <c r="S260" s="9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10"/>
    </row>
    <row r="261" spans="1:39" x14ac:dyDescent="0.2">
      <c r="A261" s="2" t="str">
        <f>IF($G261="","",IF(ISERROR(MATCH($N261,Lge_Scratch!$B:$B,0)),1,0))</f>
        <v/>
      </c>
      <c r="B261" s="2" t="str">
        <f>IF($G261="","",IF(AND(LEFT($Q261,8)="Non-aero",ISERROR(MATCH($N261,Lge_NonAero!$B:$B,0))),1,0))</f>
        <v/>
      </c>
      <c r="C261" s="5" t="str">
        <f>IF($G261="","",IF(AND(LEFT($O261,3)="Wom",ISERROR(MATCH($N261,Lge_Women!$B:$B,0))),1,0))</f>
        <v/>
      </c>
      <c r="D261" s="2" t="str">
        <f>IF($G261="","",IF(AND(OR($O261="Vet",$O261="Woman Vet"),ISERROR(MATCH($N261,Lge_Vets!$B:$B,0))),1,0))</f>
        <v/>
      </c>
      <c r="E261" s="2" t="str">
        <f>IF($G261="","",IF(AND(OR($O261="Junior",$O261="Woman Junior",$O261="Youth",$O261="Woman Youth"),ISERROR(MATCH($N261,Lge_Junior!$B:$B,0))),1,0))</f>
        <v/>
      </c>
      <c r="F261" s="2" t="str">
        <f>IF($G261="","",IF(AND(LEFT($O261,3)="You",ISERROR(MATCH($N261,Lge_Youth!$B:$B,0))),1,0))</f>
        <v/>
      </c>
      <c r="G261" s="3"/>
      <c r="H261" s="3"/>
      <c r="I261" s="3"/>
      <c r="J261" s="3"/>
      <c r="K261" s="6"/>
      <c r="L261" s="4"/>
      <c r="M261" s="4"/>
      <c r="N261" s="8"/>
      <c r="O261" s="8"/>
      <c r="P261" s="9"/>
      <c r="Q261" s="8"/>
      <c r="R261" s="8"/>
      <c r="S261" s="9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10"/>
    </row>
    <row r="262" spans="1:39" x14ac:dyDescent="0.2">
      <c r="A262" s="2" t="str">
        <f>IF($G262="","",IF(ISERROR(MATCH($N262,Lge_Scratch!$B:$B,0)),1,0))</f>
        <v/>
      </c>
      <c r="B262" s="2" t="str">
        <f>IF($G262="","",IF(AND(LEFT($Q262,8)="Non-aero",ISERROR(MATCH($N262,Lge_NonAero!$B:$B,0))),1,0))</f>
        <v/>
      </c>
      <c r="C262" s="5" t="str">
        <f>IF($G262="","",IF(AND(LEFT($O262,3)="Wom",ISERROR(MATCH($N262,Lge_Women!$B:$B,0))),1,0))</f>
        <v/>
      </c>
      <c r="D262" s="2" t="str">
        <f>IF($G262="","",IF(AND(OR($O262="Vet",$O262="Woman Vet"),ISERROR(MATCH($N262,Lge_Vets!$B:$B,0))),1,0))</f>
        <v/>
      </c>
      <c r="E262" s="2" t="str">
        <f>IF($G262="","",IF(AND(OR($O262="Junior",$O262="Woman Junior",$O262="Youth",$O262="Woman Youth"),ISERROR(MATCH($N262,Lge_Junior!$B:$B,0))),1,0))</f>
        <v/>
      </c>
      <c r="F262" s="2" t="str">
        <f>IF($G262="","",IF(AND(LEFT($O262,3)="You",ISERROR(MATCH($N262,Lge_Youth!$B:$B,0))),1,0))</f>
        <v/>
      </c>
      <c r="G262" s="3"/>
      <c r="H262" s="3"/>
      <c r="I262" s="3"/>
      <c r="J262" s="3"/>
      <c r="K262" s="6"/>
      <c r="L262" s="4"/>
      <c r="M262" s="4"/>
      <c r="N262" s="8"/>
      <c r="O262" s="8"/>
      <c r="P262" s="9"/>
      <c r="Q262" s="8"/>
      <c r="R262" s="8"/>
      <c r="S262" s="9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10"/>
    </row>
    <row r="263" spans="1:39" x14ac:dyDescent="0.2">
      <c r="A263" s="2" t="str">
        <f>IF($G263="","",IF(ISERROR(MATCH($N263,Lge_Scratch!$B:$B,0)),1,0))</f>
        <v/>
      </c>
      <c r="B263" s="2" t="str">
        <f>IF($G263="","",IF(AND(LEFT($Q263,8)="Non-aero",ISERROR(MATCH($N263,Lge_NonAero!$B:$B,0))),1,0))</f>
        <v/>
      </c>
      <c r="C263" s="5" t="str">
        <f>IF($G263="","",IF(AND(LEFT($O263,3)="Wom",ISERROR(MATCH($N263,Lge_Women!$B:$B,0))),1,0))</f>
        <v/>
      </c>
      <c r="D263" s="2" t="str">
        <f>IF($G263="","",IF(AND(OR($O263="Vet",$O263="Woman Vet"),ISERROR(MATCH($N263,Lge_Vets!$B:$B,0))),1,0))</f>
        <v/>
      </c>
      <c r="E263" s="2" t="str">
        <f>IF($G263="","",IF(AND(OR($O263="Junior",$O263="Woman Junior",$O263="Youth",$O263="Woman Youth"),ISERROR(MATCH($N263,Lge_Junior!$B:$B,0))),1,0))</f>
        <v/>
      </c>
      <c r="F263" s="2" t="str">
        <f>IF($G263="","",IF(AND(LEFT($O263,3)="You",ISERROR(MATCH($N263,Lge_Youth!$B:$B,0))),1,0))</f>
        <v/>
      </c>
      <c r="G263" s="3"/>
      <c r="H263" s="3"/>
      <c r="I263" s="3"/>
      <c r="J263" s="3"/>
      <c r="K263" s="6"/>
      <c r="L263" s="4"/>
      <c r="M263" s="4"/>
      <c r="N263" s="8"/>
      <c r="O263" s="8"/>
      <c r="P263" s="9"/>
      <c r="Q263" s="8"/>
      <c r="R263" s="8"/>
      <c r="S263" s="9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10"/>
    </row>
    <row r="264" spans="1:39" x14ac:dyDescent="0.2">
      <c r="A264" s="2" t="str">
        <f>IF($G264="","",IF(ISERROR(MATCH($N264,Lge_Scratch!$B:$B,0)),1,0))</f>
        <v/>
      </c>
      <c r="B264" s="2" t="str">
        <f>IF($G264="","",IF(AND(LEFT($Q264,8)="Non-aero",ISERROR(MATCH($N264,Lge_NonAero!$B:$B,0))),1,0))</f>
        <v/>
      </c>
      <c r="C264" s="5" t="str">
        <f>IF($G264="","",IF(AND(LEFT($O264,3)="Wom",ISERROR(MATCH($N264,Lge_Women!$B:$B,0))),1,0))</f>
        <v/>
      </c>
      <c r="D264" s="2" t="str">
        <f>IF($G264="","",IF(AND(OR($O264="Vet",$O264="Woman Vet"),ISERROR(MATCH($N264,Lge_Vets!$B:$B,0))),1,0))</f>
        <v/>
      </c>
      <c r="E264" s="2" t="str">
        <f>IF($G264="","",IF(AND(OR($O264="Junior",$O264="Woman Junior",$O264="Youth",$O264="Woman Youth"),ISERROR(MATCH($N264,Lge_Junior!$B:$B,0))),1,0))</f>
        <v/>
      </c>
      <c r="F264" s="2" t="str">
        <f>IF($G264="","",IF(AND(LEFT($O264,3)="You",ISERROR(MATCH($N264,Lge_Youth!$B:$B,0))),1,0))</f>
        <v/>
      </c>
      <c r="G264" s="3"/>
      <c r="H264" s="3"/>
      <c r="I264" s="3"/>
      <c r="J264" s="3"/>
      <c r="K264" s="6"/>
      <c r="L264" s="4"/>
      <c r="M264" s="4"/>
      <c r="N264" s="8"/>
      <c r="O264" s="8"/>
      <c r="P264" s="9"/>
      <c r="Q264" s="8"/>
      <c r="R264" s="8"/>
      <c r="S264" s="9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10"/>
    </row>
    <row r="265" spans="1:39" x14ac:dyDescent="0.2">
      <c r="A265" s="2" t="str">
        <f>IF($G265="","",IF(ISERROR(MATCH($N265,Lge_Scratch!$B:$B,0)),1,0))</f>
        <v/>
      </c>
      <c r="B265" s="2" t="str">
        <f>IF($G265="","",IF(AND(LEFT($Q265,8)="Non-aero",ISERROR(MATCH($N265,Lge_NonAero!$B:$B,0))),1,0))</f>
        <v/>
      </c>
      <c r="C265" s="5" t="str">
        <f>IF($G265="","",IF(AND(LEFT($O265,3)="Wom",ISERROR(MATCH($N265,Lge_Women!$B:$B,0))),1,0))</f>
        <v/>
      </c>
      <c r="D265" s="2" t="str">
        <f>IF($G265="","",IF(AND(OR($O265="Vet",$O265="Woman Vet"),ISERROR(MATCH($N265,Lge_Vets!$B:$B,0))),1,0))</f>
        <v/>
      </c>
      <c r="E265" s="2" t="str">
        <f>IF($G265="","",IF(AND(OR($O265="Junior",$O265="Woman Junior",$O265="Youth",$O265="Woman Youth"),ISERROR(MATCH($N265,Lge_Junior!$B:$B,0))),1,0))</f>
        <v/>
      </c>
      <c r="F265" s="2" t="str">
        <f>IF($G265="","",IF(AND(LEFT($O265,3)="You",ISERROR(MATCH($N265,Lge_Youth!$B:$B,0))),1,0))</f>
        <v/>
      </c>
      <c r="G265" s="3"/>
      <c r="H265" s="3"/>
      <c r="I265" s="3"/>
      <c r="J265" s="3"/>
      <c r="K265" s="6"/>
      <c r="L265" s="4"/>
      <c r="M265" s="4"/>
      <c r="N265" s="8"/>
      <c r="O265" s="8"/>
      <c r="P265" s="9"/>
      <c r="Q265" s="8"/>
      <c r="R265" s="8"/>
      <c r="S265" s="9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10"/>
    </row>
    <row r="266" spans="1:39" x14ac:dyDescent="0.2">
      <c r="A266" s="2" t="str">
        <f>IF($G266="","",IF(ISERROR(MATCH($N266,Lge_Scratch!$B:$B,0)),1,0))</f>
        <v/>
      </c>
      <c r="B266" s="2" t="str">
        <f>IF($G266="","",IF(AND(LEFT($Q266,8)="Non-aero",ISERROR(MATCH($N266,Lge_NonAero!$B:$B,0))),1,0))</f>
        <v/>
      </c>
      <c r="C266" s="5" t="str">
        <f>IF($G266="","",IF(AND(LEFT($O266,3)="Wom",ISERROR(MATCH($N266,Lge_Women!$B:$B,0))),1,0))</f>
        <v/>
      </c>
      <c r="D266" s="2" t="str">
        <f>IF($G266="","",IF(AND(OR($O266="Vet",$O266="Woman Vet"),ISERROR(MATCH($N266,Lge_Vets!$B:$B,0))),1,0))</f>
        <v/>
      </c>
      <c r="E266" s="2" t="str">
        <f>IF($G266="","",IF(AND(OR($O266="Junior",$O266="Woman Junior",$O266="Youth",$O266="Woman Youth"),ISERROR(MATCH($N266,Lge_Junior!$B:$B,0))),1,0))</f>
        <v/>
      </c>
      <c r="F266" s="2" t="str">
        <f>IF($G266="","",IF(AND(LEFT($O266,3)="You",ISERROR(MATCH($N266,Lge_Youth!$B:$B,0))),1,0))</f>
        <v/>
      </c>
      <c r="G266" s="3"/>
      <c r="H266" s="3"/>
      <c r="I266" s="3"/>
      <c r="J266" s="3"/>
      <c r="K266" s="6"/>
      <c r="L266" s="4"/>
      <c r="M266" s="4"/>
      <c r="N266" s="8"/>
      <c r="O266" s="8"/>
      <c r="P266" s="9"/>
      <c r="Q266" s="8"/>
      <c r="R266" s="8"/>
      <c r="S266" s="9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10"/>
    </row>
    <row r="267" spans="1:39" x14ac:dyDescent="0.2">
      <c r="A267" s="2" t="str">
        <f>IF($G267="","",IF(ISERROR(MATCH($N267,Lge_Scratch!$B:$B,0)),1,0))</f>
        <v/>
      </c>
      <c r="B267" s="2" t="str">
        <f>IF($G267="","",IF(AND(LEFT($Q267,8)="Non-aero",ISERROR(MATCH($N267,Lge_NonAero!$B:$B,0))),1,0))</f>
        <v/>
      </c>
      <c r="C267" s="5" t="str">
        <f>IF($G267="","",IF(AND(LEFT($O267,3)="Wom",ISERROR(MATCH($N267,Lge_Women!$B:$B,0))),1,0))</f>
        <v/>
      </c>
      <c r="D267" s="2" t="str">
        <f>IF($G267="","",IF(AND(OR($O267="Vet",$O267="Woman Vet"),ISERROR(MATCH($N267,Lge_Vets!$B:$B,0))),1,0))</f>
        <v/>
      </c>
      <c r="E267" s="2" t="str">
        <f>IF($G267="","",IF(AND(OR($O267="Junior",$O267="Woman Junior",$O267="Youth",$O267="Woman Youth"),ISERROR(MATCH($N267,Lge_Junior!$B:$B,0))),1,0))</f>
        <v/>
      </c>
      <c r="F267" s="2" t="str">
        <f>IF($G267="","",IF(AND(LEFT($O267,3)="You",ISERROR(MATCH($N267,Lge_Youth!$B:$B,0))),1,0))</f>
        <v/>
      </c>
      <c r="G267" s="3"/>
      <c r="H267" s="3"/>
      <c r="I267" s="3"/>
      <c r="J267" s="3"/>
      <c r="K267" s="6"/>
      <c r="L267" s="4"/>
      <c r="M267" s="4"/>
      <c r="N267" s="8"/>
      <c r="O267" s="8"/>
      <c r="P267" s="9"/>
      <c r="Q267" s="8"/>
      <c r="R267" s="8"/>
      <c r="S267" s="9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10"/>
    </row>
    <row r="268" spans="1:39" x14ac:dyDescent="0.2">
      <c r="A268" s="2" t="str">
        <f>IF($G268="","",IF(ISERROR(MATCH($N268,Lge_Scratch!$B:$B,0)),1,0))</f>
        <v/>
      </c>
      <c r="B268" s="2" t="str">
        <f>IF($G268="","",IF(AND(LEFT($Q268,8)="Non-aero",ISERROR(MATCH($N268,Lge_NonAero!$B:$B,0))),1,0))</f>
        <v/>
      </c>
      <c r="C268" s="5" t="str">
        <f>IF($G268="","",IF(AND(LEFT($O268,3)="Wom",ISERROR(MATCH($N268,Lge_Women!$B:$B,0))),1,0))</f>
        <v/>
      </c>
      <c r="D268" s="2" t="str">
        <f>IF($G268="","",IF(AND(OR($O268="Vet",$O268="Woman Vet"),ISERROR(MATCH($N268,Lge_Vets!$B:$B,0))),1,0))</f>
        <v/>
      </c>
      <c r="E268" s="2" t="str">
        <f>IF($G268="","",IF(AND(OR($O268="Junior",$O268="Woman Junior",$O268="Youth",$O268="Woman Youth"),ISERROR(MATCH($N268,Lge_Junior!$B:$B,0))),1,0))</f>
        <v/>
      </c>
      <c r="F268" s="2" t="str">
        <f>IF($G268="","",IF(AND(LEFT($O268,3)="You",ISERROR(MATCH($N268,Lge_Youth!$B:$B,0))),1,0))</f>
        <v/>
      </c>
      <c r="G268" s="3"/>
      <c r="H268" s="3"/>
      <c r="I268" s="3"/>
      <c r="J268" s="3"/>
      <c r="K268" s="6"/>
      <c r="L268" s="4"/>
      <c r="M268" s="4"/>
      <c r="N268" s="8"/>
      <c r="O268" s="8"/>
      <c r="P268" s="9"/>
      <c r="Q268" s="8"/>
      <c r="R268" s="8"/>
      <c r="S268" s="9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10"/>
    </row>
    <row r="269" spans="1:39" x14ac:dyDescent="0.2">
      <c r="A269" s="2" t="str">
        <f>IF($G269="","",IF(ISERROR(MATCH($N269,Lge_Scratch!$B:$B,0)),1,0))</f>
        <v/>
      </c>
      <c r="B269" s="2" t="str">
        <f>IF($G269="","",IF(AND(LEFT($Q269,8)="Non-aero",ISERROR(MATCH($N269,Lge_NonAero!$B:$B,0))),1,0))</f>
        <v/>
      </c>
      <c r="C269" s="5" t="str">
        <f>IF($G269="","",IF(AND(LEFT($O269,3)="Wom",ISERROR(MATCH($N269,Lge_Women!$B:$B,0))),1,0))</f>
        <v/>
      </c>
      <c r="D269" s="2" t="str">
        <f>IF($G269="","",IF(AND(OR($O269="Vet",$O269="Woman Vet"),ISERROR(MATCH($N269,Lge_Vets!$B:$B,0))),1,0))</f>
        <v/>
      </c>
      <c r="E269" s="2" t="str">
        <f>IF($G269="","",IF(AND(OR($O269="Junior",$O269="Woman Junior",$O269="Youth",$O269="Woman Youth"),ISERROR(MATCH($N269,Lge_Junior!$B:$B,0))),1,0))</f>
        <v/>
      </c>
      <c r="F269" s="2" t="str">
        <f>IF($G269="","",IF(AND(LEFT($O269,3)="You",ISERROR(MATCH($N269,Lge_Youth!$B:$B,0))),1,0))</f>
        <v/>
      </c>
      <c r="G269" s="3"/>
      <c r="H269" s="3"/>
      <c r="I269" s="3"/>
      <c r="J269" s="3"/>
      <c r="K269" s="6"/>
      <c r="L269" s="4"/>
      <c r="M269" s="4"/>
      <c r="N269" s="8"/>
      <c r="O269" s="8"/>
      <c r="P269" s="9"/>
      <c r="Q269" s="8"/>
      <c r="R269" s="8"/>
      <c r="S269" s="9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10"/>
    </row>
    <row r="270" spans="1:39" x14ac:dyDescent="0.2">
      <c r="A270" s="2" t="str">
        <f>IF($G270="","",IF(ISERROR(MATCH($N270,Lge_Scratch!$B:$B,0)),1,0))</f>
        <v/>
      </c>
      <c r="B270" s="2" t="str">
        <f>IF($G270="","",IF(AND(LEFT($Q270,8)="Non-aero",ISERROR(MATCH($N270,Lge_NonAero!$B:$B,0))),1,0))</f>
        <v/>
      </c>
      <c r="C270" s="5" t="str">
        <f>IF($G270="","",IF(AND(LEFT($O270,3)="Wom",ISERROR(MATCH($N270,Lge_Women!$B:$B,0))),1,0))</f>
        <v/>
      </c>
      <c r="D270" s="2" t="str">
        <f>IF($G270="","",IF(AND(OR($O270="Vet",$O270="Woman Vet"),ISERROR(MATCH($N270,Lge_Vets!$B:$B,0))),1,0))</f>
        <v/>
      </c>
      <c r="E270" s="2" t="str">
        <f>IF($G270="","",IF(AND(OR($O270="Junior",$O270="Woman Junior",$O270="Youth",$O270="Woman Youth"),ISERROR(MATCH($N270,Lge_Junior!$B:$B,0))),1,0))</f>
        <v/>
      </c>
      <c r="F270" s="2" t="str">
        <f>IF($G270="","",IF(AND(LEFT($O270,3)="You",ISERROR(MATCH($N270,Lge_Youth!$B:$B,0))),1,0))</f>
        <v/>
      </c>
      <c r="G270" s="3"/>
      <c r="H270" s="3"/>
      <c r="I270" s="3"/>
      <c r="J270" s="3"/>
      <c r="K270" s="6"/>
      <c r="L270" s="4"/>
      <c r="M270" s="4"/>
      <c r="N270" s="8"/>
      <c r="O270" s="8"/>
      <c r="P270" s="9"/>
      <c r="Q270" s="8"/>
      <c r="R270" s="8"/>
      <c r="S270" s="9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10"/>
    </row>
    <row r="271" spans="1:39" x14ac:dyDescent="0.2">
      <c r="A271" s="2" t="str">
        <f>IF($G271="","",IF(ISERROR(MATCH($N271,Lge_Scratch!$B:$B,0)),1,0))</f>
        <v/>
      </c>
      <c r="B271" s="2" t="str">
        <f>IF($G271="","",IF(AND(LEFT($Q271,8)="Non-aero",ISERROR(MATCH($N271,Lge_NonAero!$B:$B,0))),1,0))</f>
        <v/>
      </c>
      <c r="C271" s="5" t="str">
        <f>IF($G271="","",IF(AND(LEFT($O271,3)="Wom",ISERROR(MATCH($N271,Lge_Women!$B:$B,0))),1,0))</f>
        <v/>
      </c>
      <c r="D271" s="2" t="str">
        <f>IF($G271="","",IF(AND(OR($O271="Vet",$O271="Woman Vet"),ISERROR(MATCH($N271,Lge_Vets!$B:$B,0))),1,0))</f>
        <v/>
      </c>
      <c r="E271" s="2" t="str">
        <f>IF($G271="","",IF(AND(OR($O271="Junior",$O271="Woman Junior",$O271="Youth",$O271="Woman Youth"),ISERROR(MATCH($N271,Lge_Junior!$B:$B,0))),1,0))</f>
        <v/>
      </c>
      <c r="F271" s="2" t="str">
        <f>IF($G271="","",IF(AND(LEFT($O271,3)="You",ISERROR(MATCH($N271,Lge_Youth!$B:$B,0))),1,0))</f>
        <v/>
      </c>
      <c r="G271" s="3"/>
      <c r="H271" s="3"/>
      <c r="I271" s="3"/>
      <c r="J271" s="3"/>
      <c r="K271" s="6"/>
      <c r="L271" s="4"/>
      <c r="M271" s="4"/>
      <c r="N271" s="8"/>
      <c r="O271" s="8"/>
      <c r="P271" s="9"/>
      <c r="Q271" s="8"/>
      <c r="R271" s="8"/>
      <c r="S271" s="9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10"/>
    </row>
    <row r="272" spans="1:39" x14ac:dyDescent="0.2">
      <c r="A272" s="2" t="str">
        <f>IF($G272="","",IF(ISERROR(MATCH($N272,Lge_Scratch!$B:$B,0)),1,0))</f>
        <v/>
      </c>
      <c r="B272" s="2" t="str">
        <f>IF($G272="","",IF(AND(LEFT($Q272,8)="Non-aero",ISERROR(MATCH($N272,Lge_NonAero!$B:$B,0))),1,0))</f>
        <v/>
      </c>
      <c r="C272" s="5" t="str">
        <f>IF($G272="","",IF(AND(LEFT($O272,3)="Wom",ISERROR(MATCH($N272,Lge_Women!$B:$B,0))),1,0))</f>
        <v/>
      </c>
      <c r="D272" s="2" t="str">
        <f>IF($G272="","",IF(AND(OR($O272="Vet",$O272="Woman Vet"),ISERROR(MATCH($N272,Lge_Vets!$B:$B,0))),1,0))</f>
        <v/>
      </c>
      <c r="E272" s="2" t="str">
        <f>IF($G272="","",IF(AND(OR($O272="Junior",$O272="Woman Junior",$O272="Youth",$O272="Woman Youth"),ISERROR(MATCH($N272,Lge_Junior!$B:$B,0))),1,0))</f>
        <v/>
      </c>
      <c r="F272" s="2" t="str">
        <f>IF($G272="","",IF(AND(LEFT($O272,3)="You",ISERROR(MATCH($N272,Lge_Youth!$B:$B,0))),1,0))</f>
        <v/>
      </c>
      <c r="G272" s="3"/>
      <c r="H272" s="3"/>
      <c r="I272" s="3"/>
      <c r="J272" s="3"/>
      <c r="K272" s="6"/>
      <c r="L272" s="4"/>
      <c r="M272" s="4"/>
      <c r="N272" s="8"/>
      <c r="O272" s="8"/>
      <c r="P272" s="9"/>
      <c r="Q272" s="8"/>
      <c r="R272" s="8"/>
      <c r="S272" s="9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10"/>
    </row>
    <row r="273" spans="1:39" x14ac:dyDescent="0.2">
      <c r="A273" s="2" t="str">
        <f>IF($G273="","",IF(ISERROR(MATCH($N273,Lge_Scratch!$B:$B,0)),1,0))</f>
        <v/>
      </c>
      <c r="B273" s="2" t="str">
        <f>IF($G273="","",IF(AND(LEFT($Q273,8)="Non-aero",ISERROR(MATCH($N273,Lge_NonAero!$B:$B,0))),1,0))</f>
        <v/>
      </c>
      <c r="C273" s="5" t="str">
        <f>IF($G273="","",IF(AND(LEFT($O273,3)="Wom",ISERROR(MATCH($N273,Lge_Women!$B:$B,0))),1,0))</f>
        <v/>
      </c>
      <c r="D273" s="2" t="str">
        <f>IF($G273="","",IF(AND(OR($O273="Vet",$O273="Woman Vet"),ISERROR(MATCH($N273,Lge_Vets!$B:$B,0))),1,0))</f>
        <v/>
      </c>
      <c r="E273" s="2" t="str">
        <f>IF($G273="","",IF(AND(OR($O273="Junior",$O273="Woman Junior",$O273="Youth",$O273="Woman Youth"),ISERROR(MATCH($N273,Lge_Junior!$B:$B,0))),1,0))</f>
        <v/>
      </c>
      <c r="F273" s="2" t="str">
        <f>IF($G273="","",IF(AND(LEFT($O273,3)="You",ISERROR(MATCH($N273,Lge_Youth!$B:$B,0))),1,0))</f>
        <v/>
      </c>
      <c r="G273" s="3"/>
      <c r="H273" s="3"/>
      <c r="I273" s="3"/>
      <c r="J273" s="3"/>
      <c r="K273" s="6"/>
      <c r="L273" s="4"/>
      <c r="M273" s="4"/>
      <c r="N273" s="8"/>
      <c r="O273" s="8"/>
      <c r="P273" s="9"/>
      <c r="Q273" s="8"/>
      <c r="R273" s="8"/>
      <c r="S273" s="9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10"/>
    </row>
    <row r="274" spans="1:39" x14ac:dyDescent="0.2">
      <c r="A274" s="2" t="str">
        <f>IF($G274="","",IF(ISERROR(MATCH($N274,Lge_Scratch!$B:$B,0)),1,0))</f>
        <v/>
      </c>
      <c r="B274" s="2" t="str">
        <f>IF($G274="","",IF(AND(LEFT($Q274,8)="Non-aero",ISERROR(MATCH($N274,Lge_NonAero!$B:$B,0))),1,0))</f>
        <v/>
      </c>
      <c r="C274" s="5" t="str">
        <f>IF($G274="","",IF(AND(LEFT($O274,3)="Wom",ISERROR(MATCH($N274,Lge_Women!$B:$B,0))),1,0))</f>
        <v/>
      </c>
      <c r="D274" s="2" t="str">
        <f>IF($G274="","",IF(AND(OR($O274="Vet",$O274="Woman Vet"),ISERROR(MATCH($N274,Lge_Vets!$B:$B,0))),1,0))</f>
        <v/>
      </c>
      <c r="E274" s="2" t="str">
        <f>IF($G274="","",IF(AND(OR($O274="Junior",$O274="Woman Junior",$O274="Youth",$O274="Woman Youth"),ISERROR(MATCH($N274,Lge_Junior!$B:$B,0))),1,0))</f>
        <v/>
      </c>
      <c r="F274" s="2" t="str">
        <f>IF($G274="","",IF(AND(LEFT($O274,3)="You",ISERROR(MATCH($N274,Lge_Youth!$B:$B,0))),1,0))</f>
        <v/>
      </c>
      <c r="G274" s="3"/>
      <c r="H274" s="3"/>
      <c r="I274" s="3"/>
      <c r="J274" s="3"/>
      <c r="K274" s="6"/>
      <c r="L274" s="4"/>
      <c r="M274" s="4"/>
      <c r="N274" s="8"/>
      <c r="O274" s="8"/>
      <c r="P274" s="9"/>
      <c r="Q274" s="8"/>
      <c r="R274" s="8"/>
      <c r="S274" s="9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10"/>
    </row>
    <row r="275" spans="1:39" x14ac:dyDescent="0.2">
      <c r="A275" s="2" t="str">
        <f>IF($G275="","",IF(ISERROR(MATCH($N275,Lge_Scratch!$B:$B,0)),1,0))</f>
        <v/>
      </c>
      <c r="B275" s="2" t="str">
        <f>IF($G275="","",IF(AND(LEFT($Q275,8)="Non-aero",ISERROR(MATCH($N275,Lge_NonAero!$B:$B,0))),1,0))</f>
        <v/>
      </c>
      <c r="C275" s="5" t="str">
        <f>IF($G275="","",IF(AND(LEFT($O275,3)="Wom",ISERROR(MATCH($N275,Lge_Women!$B:$B,0))),1,0))</f>
        <v/>
      </c>
      <c r="D275" s="2" t="str">
        <f>IF($G275="","",IF(AND(OR($O275="Vet",$O275="Woman Vet"),ISERROR(MATCH($N275,Lge_Vets!$B:$B,0))),1,0))</f>
        <v/>
      </c>
      <c r="E275" s="2" t="str">
        <f>IF($G275="","",IF(AND(OR($O275="Junior",$O275="Woman Junior",$O275="Youth",$O275="Woman Youth"),ISERROR(MATCH($N275,Lge_Junior!$B:$B,0))),1,0))</f>
        <v/>
      </c>
      <c r="F275" s="2" t="str">
        <f>IF($G275="","",IF(AND(LEFT($O275,3)="You",ISERROR(MATCH($N275,Lge_Youth!$B:$B,0))),1,0))</f>
        <v/>
      </c>
      <c r="G275" s="3"/>
      <c r="H275" s="3"/>
      <c r="I275" s="3"/>
      <c r="J275" s="3"/>
      <c r="K275" s="6"/>
      <c r="L275" s="4"/>
      <c r="M275" s="4"/>
      <c r="N275" s="8"/>
      <c r="O275" s="8"/>
      <c r="P275" s="9"/>
      <c r="Q275" s="8"/>
      <c r="R275" s="8"/>
      <c r="S275" s="9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10"/>
    </row>
    <row r="276" spans="1:39" x14ac:dyDescent="0.2">
      <c r="A276" s="2" t="str">
        <f>IF($G276="","",IF(ISERROR(MATCH($N276,Lge_Scratch!$B:$B,0)),1,0))</f>
        <v/>
      </c>
      <c r="B276" s="2" t="str">
        <f>IF($G276="","",IF(AND(LEFT($Q276,8)="Non-aero",ISERROR(MATCH($N276,Lge_NonAero!$B:$B,0))),1,0))</f>
        <v/>
      </c>
      <c r="C276" s="5" t="str">
        <f>IF($G276="","",IF(AND(LEFT($O276,3)="Wom",ISERROR(MATCH($N276,Lge_Women!$B:$B,0))),1,0))</f>
        <v/>
      </c>
      <c r="D276" s="2" t="str">
        <f>IF($G276="","",IF(AND(OR($O276="Vet",$O276="Woman Vet"),ISERROR(MATCH($N276,Lge_Vets!$B:$B,0))),1,0))</f>
        <v/>
      </c>
      <c r="E276" s="2" t="str">
        <f>IF($G276="","",IF(AND(OR($O276="Junior",$O276="Woman Junior",$O276="Youth",$O276="Woman Youth"),ISERROR(MATCH($N276,Lge_Junior!$B:$B,0))),1,0))</f>
        <v/>
      </c>
      <c r="F276" s="2" t="str">
        <f>IF($G276="","",IF(AND(LEFT($O276,3)="You",ISERROR(MATCH($N276,Lge_Youth!$B:$B,0))),1,0))</f>
        <v/>
      </c>
      <c r="G276" s="3"/>
      <c r="H276" s="3"/>
      <c r="I276" s="3"/>
      <c r="J276" s="3"/>
      <c r="K276" s="6"/>
      <c r="L276" s="4"/>
      <c r="M276" s="4"/>
      <c r="N276" s="8"/>
      <c r="O276" s="8"/>
      <c r="P276" s="9"/>
      <c r="Q276" s="8"/>
      <c r="R276" s="8"/>
      <c r="S276" s="9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10"/>
    </row>
    <row r="277" spans="1:39" x14ac:dyDescent="0.2">
      <c r="A277" s="2" t="str">
        <f>IF($G277="","",IF(ISERROR(MATCH($N277,Lge_Scratch!$B:$B,0)),1,0))</f>
        <v/>
      </c>
      <c r="B277" s="2" t="str">
        <f>IF($G277="","",IF(AND(LEFT($Q277,8)="Non-aero",ISERROR(MATCH($N277,Lge_NonAero!$B:$B,0))),1,0))</f>
        <v/>
      </c>
      <c r="C277" s="5" t="str">
        <f>IF($G277="","",IF(AND(LEFT($O277,3)="Wom",ISERROR(MATCH($N277,Lge_Women!$B:$B,0))),1,0))</f>
        <v/>
      </c>
      <c r="D277" s="2" t="str">
        <f>IF($G277="","",IF(AND(OR($O277="Vet",$O277="Woman Vet"),ISERROR(MATCH($N277,Lge_Vets!$B:$B,0))),1,0))</f>
        <v/>
      </c>
      <c r="E277" s="2" t="str">
        <f>IF($G277="","",IF(AND(OR($O277="Junior",$O277="Woman Junior",$O277="Youth",$O277="Woman Youth"),ISERROR(MATCH($N277,Lge_Junior!$B:$B,0))),1,0))</f>
        <v/>
      </c>
      <c r="F277" s="2" t="str">
        <f>IF($G277="","",IF(AND(LEFT($O277,3)="You",ISERROR(MATCH($N277,Lge_Youth!$B:$B,0))),1,0))</f>
        <v/>
      </c>
      <c r="G277" s="3"/>
      <c r="H277" s="3"/>
      <c r="I277" s="3"/>
      <c r="J277" s="3"/>
      <c r="K277" s="6"/>
      <c r="L277" s="4"/>
      <c r="M277" s="4"/>
      <c r="N277" s="8"/>
      <c r="O277" s="8"/>
      <c r="P277" s="9"/>
      <c r="Q277" s="8"/>
      <c r="R277" s="8"/>
      <c r="S277" s="9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10"/>
    </row>
    <row r="278" spans="1:39" x14ac:dyDescent="0.2">
      <c r="A278" s="2" t="str">
        <f>IF($G278="","",IF(ISERROR(MATCH($N278,Lge_Scratch!$B:$B,0)),1,0))</f>
        <v/>
      </c>
      <c r="B278" s="2" t="str">
        <f>IF($G278="","",IF(AND(LEFT($Q278,8)="Non-aero",ISERROR(MATCH($N278,Lge_NonAero!$B:$B,0))),1,0))</f>
        <v/>
      </c>
      <c r="C278" s="5" t="str">
        <f>IF($G278="","",IF(AND(LEFT($O278,3)="Wom",ISERROR(MATCH($N278,Lge_Women!$B:$B,0))),1,0))</f>
        <v/>
      </c>
      <c r="D278" s="2" t="str">
        <f>IF($G278="","",IF(AND(OR($O278="Vet",$O278="Woman Vet"),ISERROR(MATCH($N278,Lge_Vets!$B:$B,0))),1,0))</f>
        <v/>
      </c>
      <c r="E278" s="2" t="str">
        <f>IF($G278="","",IF(AND(OR($O278="Junior",$O278="Woman Junior",$O278="Youth",$O278="Woman Youth"),ISERROR(MATCH($N278,Lge_Junior!$B:$B,0))),1,0))</f>
        <v/>
      </c>
      <c r="F278" s="2" t="str">
        <f>IF($G278="","",IF(AND(LEFT($O278,3)="You",ISERROR(MATCH($N278,Lge_Youth!$B:$B,0))),1,0))</f>
        <v/>
      </c>
      <c r="G278" s="3"/>
      <c r="H278" s="3"/>
      <c r="I278" s="3"/>
      <c r="J278" s="3"/>
      <c r="K278" s="6"/>
      <c r="L278" s="4"/>
      <c r="M278" s="4"/>
      <c r="N278" s="8"/>
      <c r="O278" s="8"/>
      <c r="P278" s="9"/>
      <c r="Q278" s="8"/>
      <c r="R278" s="8"/>
      <c r="S278" s="9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10"/>
    </row>
    <row r="279" spans="1:39" x14ac:dyDescent="0.2">
      <c r="A279" s="2" t="str">
        <f>IF($G279="","",IF(ISERROR(MATCH($N279,Lge_Scratch!$B:$B,0)),1,0))</f>
        <v/>
      </c>
      <c r="B279" s="2" t="str">
        <f>IF($G279="","",IF(AND(LEFT($Q279,8)="Non-aero",ISERROR(MATCH($N279,Lge_NonAero!$B:$B,0))),1,0))</f>
        <v/>
      </c>
      <c r="C279" s="5" t="str">
        <f>IF($G279="","",IF(AND(LEFT($O279,3)="Wom",ISERROR(MATCH($N279,Lge_Women!$B:$B,0))),1,0))</f>
        <v/>
      </c>
      <c r="D279" s="2" t="str">
        <f>IF($G279="","",IF(AND(OR($O279="Vet",$O279="Woman Vet"),ISERROR(MATCH($N279,Lge_Vets!$B:$B,0))),1,0))</f>
        <v/>
      </c>
      <c r="E279" s="2" t="str">
        <f>IF($G279="","",IF(AND(OR($O279="Junior",$O279="Woman Junior",$O279="Youth",$O279="Woman Youth"),ISERROR(MATCH($N279,Lge_Junior!$B:$B,0))),1,0))</f>
        <v/>
      </c>
      <c r="F279" s="2" t="str">
        <f>IF($G279="","",IF(AND(LEFT($O279,3)="You",ISERROR(MATCH($N279,Lge_Youth!$B:$B,0))),1,0))</f>
        <v/>
      </c>
      <c r="G279" s="3"/>
      <c r="H279" s="3"/>
      <c r="I279" s="3"/>
      <c r="J279" s="3"/>
      <c r="K279" s="6"/>
      <c r="L279" s="4"/>
      <c r="M279" s="4"/>
      <c r="N279" s="8"/>
      <c r="O279" s="8"/>
      <c r="P279" s="9"/>
      <c r="Q279" s="8"/>
      <c r="R279" s="8"/>
      <c r="S279" s="9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10"/>
    </row>
    <row r="280" spans="1:39" x14ac:dyDescent="0.2">
      <c r="A280" s="2" t="str">
        <f>IF($G280="","",IF(ISERROR(MATCH($N280,Lge_Scratch!$B:$B,0)),1,0))</f>
        <v/>
      </c>
      <c r="B280" s="2" t="str">
        <f>IF($G280="","",IF(AND(LEFT($Q280,8)="Non-aero",ISERROR(MATCH($N280,Lge_NonAero!$B:$B,0))),1,0))</f>
        <v/>
      </c>
      <c r="C280" s="5" t="str">
        <f>IF($G280="","",IF(AND(LEFT($O280,3)="Wom",ISERROR(MATCH($N280,Lge_Women!$B:$B,0))),1,0))</f>
        <v/>
      </c>
      <c r="D280" s="2" t="str">
        <f>IF($G280="","",IF(AND(OR($O280="Vet",$O280="Woman Vet"),ISERROR(MATCH($N280,Lge_Vets!$B:$B,0))),1,0))</f>
        <v/>
      </c>
      <c r="E280" s="2" t="str">
        <f>IF($G280="","",IF(AND(OR($O280="Junior",$O280="Woman Junior",$O280="Youth",$O280="Woman Youth"),ISERROR(MATCH($N280,Lge_Junior!$B:$B,0))),1,0))</f>
        <v/>
      </c>
      <c r="F280" s="2" t="str">
        <f>IF($G280="","",IF(AND(LEFT($O280,3)="You",ISERROR(MATCH($N280,Lge_Youth!$B:$B,0))),1,0))</f>
        <v/>
      </c>
      <c r="G280" s="3"/>
      <c r="H280" s="3"/>
      <c r="I280" s="3"/>
      <c r="J280" s="3"/>
      <c r="K280" s="6"/>
      <c r="L280" s="4"/>
      <c r="M280" s="4"/>
      <c r="N280" s="8"/>
      <c r="O280" s="8"/>
      <c r="P280" s="9"/>
      <c r="Q280" s="8"/>
      <c r="R280" s="8"/>
      <c r="S280" s="9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10"/>
    </row>
    <row r="281" spans="1:39" x14ac:dyDescent="0.2">
      <c r="A281" s="2" t="str">
        <f>IF($G281="","",IF(ISERROR(MATCH($N281,Lge_Scratch!$B:$B,0)),1,0))</f>
        <v/>
      </c>
      <c r="B281" s="2" t="str">
        <f>IF($G281="","",IF(AND(LEFT($Q281,8)="Non-aero",ISERROR(MATCH($N281,Lge_NonAero!$B:$B,0))),1,0))</f>
        <v/>
      </c>
      <c r="C281" s="5" t="str">
        <f>IF($G281="","",IF(AND(LEFT($O281,3)="Wom",ISERROR(MATCH($N281,Lge_Women!$B:$B,0))),1,0))</f>
        <v/>
      </c>
      <c r="D281" s="2" t="str">
        <f>IF($G281="","",IF(AND(OR($O281="Vet",$O281="Woman Vet"),ISERROR(MATCH($N281,Lge_Vets!$B:$B,0))),1,0))</f>
        <v/>
      </c>
      <c r="E281" s="2" t="str">
        <f>IF($G281="","",IF(AND(OR($O281="Junior",$O281="Woman Junior",$O281="Youth",$O281="Woman Youth"),ISERROR(MATCH($N281,Lge_Junior!$B:$B,0))),1,0))</f>
        <v/>
      </c>
      <c r="F281" s="2" t="str">
        <f>IF($G281="","",IF(AND(LEFT($O281,3)="You",ISERROR(MATCH($N281,Lge_Youth!$B:$B,0))),1,0))</f>
        <v/>
      </c>
      <c r="G281" s="3"/>
      <c r="H281" s="3"/>
      <c r="I281" s="3"/>
      <c r="J281" s="3"/>
      <c r="K281" s="6"/>
      <c r="L281" s="4"/>
      <c r="M281" s="4"/>
      <c r="N281" s="8"/>
      <c r="O281" s="8"/>
      <c r="P281" s="9"/>
      <c r="Q281" s="8"/>
      <c r="R281" s="8"/>
      <c r="S281" s="9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10"/>
    </row>
    <row r="282" spans="1:39" x14ac:dyDescent="0.2">
      <c r="A282" s="2" t="str">
        <f>IF($G282="","",IF(ISERROR(MATCH($N282,Lge_Scratch!$B:$B,0)),1,0))</f>
        <v/>
      </c>
      <c r="B282" s="2" t="str">
        <f>IF($G282="","",IF(AND(LEFT($Q282,8)="Non-aero",ISERROR(MATCH($N282,Lge_NonAero!$B:$B,0))),1,0))</f>
        <v/>
      </c>
      <c r="C282" s="5" t="str">
        <f>IF($G282="","",IF(AND(LEFT($O282,3)="Wom",ISERROR(MATCH($N282,Lge_Women!$B:$B,0))),1,0))</f>
        <v/>
      </c>
      <c r="D282" s="2" t="str">
        <f>IF($G282="","",IF(AND(OR($O282="Vet",$O282="Woman Vet"),ISERROR(MATCH($N282,Lge_Vets!$B:$B,0))),1,0))</f>
        <v/>
      </c>
      <c r="E282" s="2" t="str">
        <f>IF($G282="","",IF(AND(OR($O282="Junior",$O282="Woman Junior",$O282="Youth",$O282="Woman Youth"),ISERROR(MATCH($N282,Lge_Junior!$B:$B,0))),1,0))</f>
        <v/>
      </c>
      <c r="F282" s="2" t="str">
        <f>IF($G282="","",IF(AND(LEFT($O282,3)="You",ISERROR(MATCH($N282,Lge_Youth!$B:$B,0))),1,0))</f>
        <v/>
      </c>
      <c r="G282" s="3"/>
      <c r="H282" s="3"/>
      <c r="I282" s="3"/>
      <c r="J282" s="3"/>
      <c r="K282" s="6"/>
      <c r="L282" s="4"/>
      <c r="M282" s="4"/>
      <c r="N282" s="8"/>
      <c r="O282" s="8"/>
      <c r="P282" s="9"/>
      <c r="Q282" s="8"/>
      <c r="R282" s="8"/>
      <c r="S282" s="9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10"/>
    </row>
    <row r="283" spans="1:39" x14ac:dyDescent="0.2">
      <c r="A283" s="2" t="str">
        <f>IF($G283="","",IF(ISERROR(MATCH($N283,Lge_Scratch!$B:$B,0)),1,0))</f>
        <v/>
      </c>
      <c r="B283" s="2" t="str">
        <f>IF($G283="","",IF(AND(LEFT($Q283,8)="Non-aero",ISERROR(MATCH($N283,Lge_NonAero!$B:$B,0))),1,0))</f>
        <v/>
      </c>
      <c r="C283" s="5" t="str">
        <f>IF($G283="","",IF(AND(LEFT($O283,3)="Wom",ISERROR(MATCH($N283,Lge_Women!$B:$B,0))),1,0))</f>
        <v/>
      </c>
      <c r="D283" s="2" t="str">
        <f>IF($G283="","",IF(AND(OR($O283="Vet",$O283="Woman Vet"),ISERROR(MATCH($N283,Lge_Vets!$B:$B,0))),1,0))</f>
        <v/>
      </c>
      <c r="E283" s="2" t="str">
        <f>IF($G283="","",IF(AND(OR($O283="Junior",$O283="Woman Junior",$O283="Youth",$O283="Woman Youth"),ISERROR(MATCH($N283,Lge_Junior!$B:$B,0))),1,0))</f>
        <v/>
      </c>
      <c r="F283" s="2" t="str">
        <f>IF($G283="","",IF(AND(LEFT($O283,3)="You",ISERROR(MATCH($N283,Lge_Youth!$B:$B,0))),1,0))</f>
        <v/>
      </c>
      <c r="G283" s="3"/>
      <c r="H283" s="3"/>
      <c r="I283" s="3"/>
      <c r="J283" s="3"/>
      <c r="K283" s="6"/>
      <c r="L283" s="4"/>
      <c r="M283" s="4"/>
      <c r="N283" s="8"/>
      <c r="O283" s="8"/>
      <c r="P283" s="9"/>
      <c r="Q283" s="8"/>
      <c r="R283" s="8"/>
      <c r="S283" s="9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10"/>
    </row>
    <row r="284" spans="1:39" x14ac:dyDescent="0.2">
      <c r="A284" s="2" t="str">
        <f>IF($G284="","",IF(ISERROR(MATCH($N284,Lge_Scratch!$B:$B,0)),1,0))</f>
        <v/>
      </c>
      <c r="B284" s="2" t="str">
        <f>IF($G284="","",IF(AND(LEFT($Q284,8)="Non-aero",ISERROR(MATCH($N284,Lge_NonAero!$B:$B,0))),1,0))</f>
        <v/>
      </c>
      <c r="C284" s="5" t="str">
        <f>IF($G284="","",IF(AND(LEFT($O284,3)="Wom",ISERROR(MATCH($N284,Lge_Women!$B:$B,0))),1,0))</f>
        <v/>
      </c>
      <c r="D284" s="2" t="str">
        <f>IF($G284="","",IF(AND(OR($O284="Vet",$O284="Woman Vet"),ISERROR(MATCH($N284,Lge_Vets!$B:$B,0))),1,0))</f>
        <v/>
      </c>
      <c r="E284" s="2" t="str">
        <f>IF($G284="","",IF(AND(OR($O284="Junior",$O284="Woman Junior",$O284="Youth",$O284="Woman Youth"),ISERROR(MATCH($N284,Lge_Junior!$B:$B,0))),1,0))</f>
        <v/>
      </c>
      <c r="F284" s="2" t="str">
        <f>IF($G284="","",IF(AND(LEFT($O284,3)="You",ISERROR(MATCH($N284,Lge_Youth!$B:$B,0))),1,0))</f>
        <v/>
      </c>
      <c r="G284" s="3"/>
      <c r="H284" s="3"/>
      <c r="I284" s="3"/>
      <c r="J284" s="3"/>
      <c r="K284" s="6"/>
      <c r="L284" s="4"/>
      <c r="M284" s="4"/>
      <c r="N284" s="8"/>
      <c r="O284" s="8"/>
      <c r="P284" s="9"/>
      <c r="Q284" s="8"/>
      <c r="R284" s="8"/>
      <c r="S284" s="9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10"/>
    </row>
    <row r="285" spans="1:39" x14ac:dyDescent="0.2">
      <c r="A285" s="2" t="str">
        <f>IF($G285="","",IF(ISERROR(MATCH($N285,Lge_Scratch!$B:$B,0)),1,0))</f>
        <v/>
      </c>
      <c r="B285" s="2" t="str">
        <f>IF($G285="","",IF(AND(LEFT($Q285,8)="Non-aero",ISERROR(MATCH($N285,Lge_NonAero!$B:$B,0))),1,0))</f>
        <v/>
      </c>
      <c r="C285" s="5" t="str">
        <f>IF($G285="","",IF(AND(LEFT($O285,3)="Wom",ISERROR(MATCH($N285,Lge_Women!$B:$B,0))),1,0))</f>
        <v/>
      </c>
      <c r="D285" s="2" t="str">
        <f>IF($G285="","",IF(AND(OR($O285="Vet",$O285="Woman Vet"),ISERROR(MATCH($N285,Lge_Vets!$B:$B,0))),1,0))</f>
        <v/>
      </c>
      <c r="E285" s="2" t="str">
        <f>IF($G285="","",IF(AND(OR($O285="Junior",$O285="Woman Junior",$O285="Youth",$O285="Woman Youth"),ISERROR(MATCH($N285,Lge_Junior!$B:$B,0))),1,0))</f>
        <v/>
      </c>
      <c r="F285" s="2" t="str">
        <f>IF($G285="","",IF(AND(LEFT($O285,3)="You",ISERROR(MATCH($N285,Lge_Youth!$B:$B,0))),1,0))</f>
        <v/>
      </c>
      <c r="G285" s="3"/>
      <c r="H285" s="3"/>
      <c r="I285" s="3"/>
      <c r="J285" s="3"/>
      <c r="K285" s="6"/>
      <c r="L285" s="4"/>
      <c r="M285" s="4"/>
      <c r="N285" s="8"/>
      <c r="O285" s="8"/>
      <c r="P285" s="9"/>
      <c r="Q285" s="8"/>
      <c r="R285" s="8"/>
      <c r="S285" s="9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10"/>
    </row>
    <row r="286" spans="1:39" x14ac:dyDescent="0.2">
      <c r="A286" s="2" t="str">
        <f>IF($G286="","",IF(ISERROR(MATCH($N286,Lge_Scratch!$B:$B,0)),1,0))</f>
        <v/>
      </c>
      <c r="B286" s="2" t="str">
        <f>IF($G286="","",IF(AND(LEFT($Q286,8)="Non-aero",ISERROR(MATCH($N286,Lge_NonAero!$B:$B,0))),1,0))</f>
        <v/>
      </c>
      <c r="C286" s="5" t="str">
        <f>IF($G286="","",IF(AND(LEFT($O286,3)="Wom",ISERROR(MATCH($N286,Lge_Women!$B:$B,0))),1,0))</f>
        <v/>
      </c>
      <c r="D286" s="2" t="str">
        <f>IF($G286="","",IF(AND(OR($O286="Vet",$O286="Woman Vet"),ISERROR(MATCH($N286,Lge_Vets!$B:$B,0))),1,0))</f>
        <v/>
      </c>
      <c r="E286" s="2" t="str">
        <f>IF($G286="","",IF(AND(OR($O286="Junior",$O286="Woman Junior",$O286="Youth",$O286="Woman Youth"),ISERROR(MATCH($N286,Lge_Junior!$B:$B,0))),1,0))</f>
        <v/>
      </c>
      <c r="F286" s="2" t="str">
        <f>IF($G286="","",IF(AND(LEFT($O286,3)="You",ISERROR(MATCH($N286,Lge_Youth!$B:$B,0))),1,0))</f>
        <v/>
      </c>
      <c r="G286" s="3"/>
      <c r="H286" s="3"/>
      <c r="I286" s="3"/>
      <c r="J286" s="3"/>
      <c r="K286" s="6"/>
      <c r="L286" s="4"/>
      <c r="M286" s="4"/>
      <c r="N286" s="8"/>
      <c r="O286" s="8"/>
      <c r="P286" s="9"/>
      <c r="Q286" s="8"/>
      <c r="R286" s="8"/>
      <c r="S286" s="9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10"/>
    </row>
    <row r="287" spans="1:39" x14ac:dyDescent="0.2">
      <c r="A287" s="2" t="str">
        <f>IF($G287="","",IF(ISERROR(MATCH($N287,Lge_Scratch!$B:$B,0)),1,0))</f>
        <v/>
      </c>
      <c r="B287" s="2" t="str">
        <f>IF($G287="","",IF(AND(LEFT($Q287,8)="Non-aero",ISERROR(MATCH($N287,Lge_NonAero!$B:$B,0))),1,0))</f>
        <v/>
      </c>
      <c r="C287" s="5" t="str">
        <f>IF($G287="","",IF(AND(LEFT($O287,3)="Wom",ISERROR(MATCH($N287,Lge_Women!$B:$B,0))),1,0))</f>
        <v/>
      </c>
      <c r="D287" s="2" t="str">
        <f>IF($G287="","",IF(AND(OR($O287="Vet",$O287="Woman Vet"),ISERROR(MATCH($N287,Lge_Vets!$B:$B,0))),1,0))</f>
        <v/>
      </c>
      <c r="E287" s="2" t="str">
        <f>IF($G287="","",IF(AND(OR($O287="Junior",$O287="Woman Junior",$O287="Youth",$O287="Woman Youth"),ISERROR(MATCH($N287,Lge_Junior!$B:$B,0))),1,0))</f>
        <v/>
      </c>
      <c r="F287" s="2" t="str">
        <f>IF($G287="","",IF(AND(LEFT($O287,3)="You",ISERROR(MATCH($N287,Lge_Youth!$B:$B,0))),1,0))</f>
        <v/>
      </c>
      <c r="G287" s="3"/>
      <c r="H287" s="3"/>
      <c r="I287" s="3"/>
      <c r="J287" s="3"/>
      <c r="K287" s="6"/>
      <c r="L287" s="4"/>
      <c r="M287" s="4"/>
      <c r="N287" s="8"/>
      <c r="O287" s="8"/>
      <c r="P287" s="9"/>
      <c r="Q287" s="8"/>
      <c r="R287" s="8"/>
      <c r="S287" s="9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10"/>
    </row>
    <row r="288" spans="1:39" x14ac:dyDescent="0.2">
      <c r="A288" s="2" t="str">
        <f>IF($G288="","",IF(ISERROR(MATCH($N288,Lge_Scratch!$B:$B,0)),1,0))</f>
        <v/>
      </c>
      <c r="B288" s="2" t="str">
        <f>IF($G288="","",IF(AND(LEFT($Q288,8)="Non-aero",ISERROR(MATCH($N288,Lge_NonAero!$B:$B,0))),1,0))</f>
        <v/>
      </c>
      <c r="C288" s="5" t="str">
        <f>IF($G288="","",IF(AND(LEFT($O288,3)="Wom",ISERROR(MATCH($N288,Lge_Women!$B:$B,0))),1,0))</f>
        <v/>
      </c>
      <c r="D288" s="2" t="str">
        <f>IF($G288="","",IF(AND(OR($O288="Vet",$O288="Woman Vet"),ISERROR(MATCH($N288,Lge_Vets!$B:$B,0))),1,0))</f>
        <v/>
      </c>
      <c r="E288" s="2" t="str">
        <f>IF($G288="","",IF(AND(OR($O288="Junior",$O288="Woman Junior",$O288="Youth",$O288="Woman Youth"),ISERROR(MATCH($N288,Lge_Junior!$B:$B,0))),1,0))</f>
        <v/>
      </c>
      <c r="F288" s="2" t="str">
        <f>IF($G288="","",IF(AND(LEFT($O288,3)="You",ISERROR(MATCH($N288,Lge_Youth!$B:$B,0))),1,0))</f>
        <v/>
      </c>
      <c r="G288" s="3"/>
      <c r="H288" s="3"/>
      <c r="I288" s="3"/>
      <c r="J288" s="3"/>
      <c r="K288" s="6"/>
      <c r="L288" s="4"/>
      <c r="M288" s="4"/>
      <c r="N288" s="8"/>
      <c r="O288" s="8"/>
      <c r="P288" s="9"/>
      <c r="Q288" s="8"/>
      <c r="R288" s="8"/>
      <c r="S288" s="9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10"/>
    </row>
    <row r="289" spans="1:39" x14ac:dyDescent="0.2">
      <c r="A289" s="2" t="str">
        <f>IF($G289="","",IF(ISERROR(MATCH($N289,Lge_Scratch!$B:$B,0)),1,0))</f>
        <v/>
      </c>
      <c r="B289" s="2" t="str">
        <f>IF($G289="","",IF(AND(LEFT($Q289,8)="Non-aero",ISERROR(MATCH($N289,Lge_NonAero!$B:$B,0))),1,0))</f>
        <v/>
      </c>
      <c r="C289" s="5" t="str">
        <f>IF($G289="","",IF(AND(LEFT($O289,3)="Wom",ISERROR(MATCH($N289,Lge_Women!$B:$B,0))),1,0))</f>
        <v/>
      </c>
      <c r="D289" s="2" t="str">
        <f>IF($G289="","",IF(AND(OR($O289="Vet",$O289="Woman Vet"),ISERROR(MATCH($N289,Lge_Vets!$B:$B,0))),1,0))</f>
        <v/>
      </c>
      <c r="E289" s="2" t="str">
        <f>IF($G289="","",IF(AND(OR($O289="Junior",$O289="Woman Junior",$O289="Youth",$O289="Woman Youth"),ISERROR(MATCH($N289,Lge_Junior!$B:$B,0))),1,0))</f>
        <v/>
      </c>
      <c r="F289" s="2" t="str">
        <f>IF($G289="","",IF(AND(LEFT($O289,3)="You",ISERROR(MATCH($N289,Lge_Youth!$B:$B,0))),1,0))</f>
        <v/>
      </c>
      <c r="G289" s="3"/>
      <c r="H289" s="3"/>
      <c r="I289" s="3"/>
      <c r="J289" s="3"/>
      <c r="K289" s="6"/>
      <c r="L289" s="4"/>
      <c r="M289" s="4"/>
      <c r="N289" s="8"/>
      <c r="O289" s="8"/>
      <c r="P289" s="9"/>
      <c r="Q289" s="8"/>
      <c r="R289" s="8"/>
      <c r="S289" s="9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10"/>
    </row>
    <row r="290" spans="1:39" x14ac:dyDescent="0.2">
      <c r="A290" s="2" t="str">
        <f>IF($G290="","",IF(ISERROR(MATCH($N290,Lge_Scratch!$B:$B,0)),1,0))</f>
        <v/>
      </c>
      <c r="B290" s="2" t="str">
        <f>IF($G290="","",IF(AND(LEFT($Q290,8)="Non-aero",ISERROR(MATCH($N290,Lge_NonAero!$B:$B,0))),1,0))</f>
        <v/>
      </c>
      <c r="C290" s="5" t="str">
        <f>IF($G290="","",IF(AND(LEFT($O290,3)="Wom",ISERROR(MATCH($N290,Lge_Women!$B:$B,0))),1,0))</f>
        <v/>
      </c>
      <c r="D290" s="2" t="str">
        <f>IF($G290="","",IF(AND(OR($O290="Vet",$O290="Woman Vet"),ISERROR(MATCH($N290,Lge_Vets!$B:$B,0))),1,0))</f>
        <v/>
      </c>
      <c r="E290" s="2" t="str">
        <f>IF($G290="","",IF(AND(OR($O290="Junior",$O290="Woman Junior",$O290="Youth",$O290="Woman Youth"),ISERROR(MATCH($N290,Lge_Junior!$B:$B,0))),1,0))</f>
        <v/>
      </c>
      <c r="F290" s="2" t="str">
        <f>IF($G290="","",IF(AND(LEFT($O290,3)="You",ISERROR(MATCH($N290,Lge_Youth!$B:$B,0))),1,0))</f>
        <v/>
      </c>
      <c r="G290" s="3"/>
      <c r="H290" s="3"/>
      <c r="I290" s="3"/>
      <c r="J290" s="3"/>
      <c r="K290" s="6"/>
      <c r="L290" s="4"/>
      <c r="M290" s="4"/>
      <c r="N290" s="8"/>
      <c r="O290" s="8"/>
      <c r="P290" s="9"/>
      <c r="Q290" s="8"/>
      <c r="R290" s="8"/>
      <c r="S290" s="9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10"/>
    </row>
    <row r="291" spans="1:39" x14ac:dyDescent="0.2">
      <c r="A291" s="2" t="str">
        <f>IF($G291="","",IF(ISERROR(MATCH($N291,Lge_Scratch!$B:$B,0)),1,0))</f>
        <v/>
      </c>
      <c r="B291" s="2" t="str">
        <f>IF($G291="","",IF(AND(LEFT($Q291,8)="Non-aero",ISERROR(MATCH($N291,Lge_NonAero!$B:$B,0))),1,0))</f>
        <v/>
      </c>
      <c r="C291" s="5" t="str">
        <f>IF($G291="","",IF(AND(LEFT($O291,3)="Wom",ISERROR(MATCH($N291,Lge_Women!$B:$B,0))),1,0))</f>
        <v/>
      </c>
      <c r="D291" s="2" t="str">
        <f>IF($G291="","",IF(AND(OR($O291="Vet",$O291="Woman Vet"),ISERROR(MATCH($N291,Lge_Vets!$B:$B,0))),1,0))</f>
        <v/>
      </c>
      <c r="E291" s="2" t="str">
        <f>IF($G291="","",IF(AND(OR($O291="Junior",$O291="Woman Junior",$O291="Youth",$O291="Woman Youth"),ISERROR(MATCH($N291,Lge_Junior!$B:$B,0))),1,0))</f>
        <v/>
      </c>
      <c r="F291" s="2" t="str">
        <f>IF($G291="","",IF(AND(LEFT($O291,3)="You",ISERROR(MATCH($N291,Lge_Youth!$B:$B,0))),1,0))</f>
        <v/>
      </c>
      <c r="G291" s="3"/>
      <c r="H291" s="3"/>
      <c r="I291" s="3"/>
      <c r="J291" s="3"/>
      <c r="K291" s="6"/>
      <c r="L291" s="4"/>
      <c r="M291" s="4"/>
      <c r="N291" s="8"/>
      <c r="O291" s="8"/>
      <c r="P291" s="9"/>
      <c r="Q291" s="8"/>
      <c r="R291" s="8"/>
      <c r="S291" s="9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10"/>
    </row>
    <row r="292" spans="1:39" x14ac:dyDescent="0.2">
      <c r="A292" s="2" t="str">
        <f>IF($G292="","",IF(ISERROR(MATCH($N292,Lge_Scratch!$B:$B,0)),1,0))</f>
        <v/>
      </c>
      <c r="B292" s="2" t="str">
        <f>IF($G292="","",IF(AND(LEFT($Q292,8)="Non-aero",ISERROR(MATCH($N292,Lge_NonAero!$B:$B,0))),1,0))</f>
        <v/>
      </c>
      <c r="C292" s="5" t="str">
        <f>IF($G292="","",IF(AND(LEFT($O292,3)="Wom",ISERROR(MATCH($N292,Lge_Women!$B:$B,0))),1,0))</f>
        <v/>
      </c>
      <c r="D292" s="2" t="str">
        <f>IF($G292="","",IF(AND(OR($O292="Vet",$O292="Woman Vet"),ISERROR(MATCH($N292,Lge_Vets!$B:$B,0))),1,0))</f>
        <v/>
      </c>
      <c r="E292" s="2" t="str">
        <f>IF($G292="","",IF(AND(OR($O292="Junior",$O292="Woman Junior",$O292="Youth",$O292="Woman Youth"),ISERROR(MATCH($N292,Lge_Junior!$B:$B,0))),1,0))</f>
        <v/>
      </c>
      <c r="F292" s="2" t="str">
        <f>IF($G292="","",IF(AND(LEFT($O292,3)="You",ISERROR(MATCH($N292,Lge_Youth!$B:$B,0))),1,0))</f>
        <v/>
      </c>
      <c r="G292" s="3"/>
      <c r="H292" s="3"/>
      <c r="I292" s="3"/>
      <c r="J292" s="3"/>
      <c r="K292" s="6"/>
      <c r="L292" s="4"/>
      <c r="M292" s="4"/>
      <c r="N292" s="8"/>
      <c r="O292" s="8"/>
      <c r="P292" s="9"/>
      <c r="Q292" s="8"/>
      <c r="R292" s="8"/>
      <c r="S292" s="9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10"/>
    </row>
    <row r="293" spans="1:39" x14ac:dyDescent="0.2">
      <c r="A293" s="2" t="str">
        <f>IF($G293="","",IF(ISERROR(MATCH($N293,Lge_Scratch!$B:$B,0)),1,0))</f>
        <v/>
      </c>
      <c r="B293" s="2" t="str">
        <f>IF($G293="","",IF(AND(LEFT($Q293,8)="Non-aero",ISERROR(MATCH($N293,Lge_NonAero!$B:$B,0))),1,0))</f>
        <v/>
      </c>
      <c r="C293" s="5" t="str">
        <f>IF($G293="","",IF(AND(LEFT($O293,3)="Wom",ISERROR(MATCH($N293,Lge_Women!$B:$B,0))),1,0))</f>
        <v/>
      </c>
      <c r="D293" s="2" t="str">
        <f>IF($G293="","",IF(AND(OR($O293="Vet",$O293="Woman Vet"),ISERROR(MATCH($N293,Lge_Vets!$B:$B,0))),1,0))</f>
        <v/>
      </c>
      <c r="E293" s="2" t="str">
        <f>IF($G293="","",IF(AND(OR($O293="Junior",$O293="Woman Junior",$O293="Youth",$O293="Woman Youth"),ISERROR(MATCH($N293,Lge_Junior!$B:$B,0))),1,0))</f>
        <v/>
      </c>
      <c r="F293" s="2" t="str">
        <f>IF($G293="","",IF(AND(LEFT($O293,3)="You",ISERROR(MATCH($N293,Lge_Youth!$B:$B,0))),1,0))</f>
        <v/>
      </c>
      <c r="G293" s="3"/>
      <c r="H293" s="3"/>
      <c r="I293" s="3"/>
      <c r="J293" s="3"/>
      <c r="K293" s="6"/>
      <c r="L293" s="4"/>
      <c r="M293" s="4"/>
      <c r="N293" s="8"/>
      <c r="O293" s="8"/>
      <c r="P293" s="9"/>
      <c r="Q293" s="8"/>
      <c r="R293" s="8"/>
      <c r="S293" s="9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10"/>
    </row>
    <row r="294" spans="1:39" x14ac:dyDescent="0.2">
      <c r="A294" s="2" t="str">
        <f>IF($G294="","",IF(ISERROR(MATCH($N294,Lge_Scratch!$B:$B,0)),1,0))</f>
        <v/>
      </c>
      <c r="B294" s="2" t="str">
        <f>IF($G294="","",IF(AND(LEFT($Q294,8)="Non-aero",ISERROR(MATCH($N294,Lge_NonAero!$B:$B,0))),1,0))</f>
        <v/>
      </c>
      <c r="C294" s="5" t="str">
        <f>IF($G294="","",IF(AND(LEFT($O294,3)="Wom",ISERROR(MATCH($N294,Lge_Women!$B:$B,0))),1,0))</f>
        <v/>
      </c>
      <c r="D294" s="2" t="str">
        <f>IF($G294="","",IF(AND(OR($O294="Vet",$O294="Woman Vet"),ISERROR(MATCH($N294,Lge_Vets!$B:$B,0))),1,0))</f>
        <v/>
      </c>
      <c r="E294" s="2" t="str">
        <f>IF($G294="","",IF(AND(OR($O294="Junior",$O294="Woman Junior",$O294="Youth",$O294="Woman Youth"),ISERROR(MATCH($N294,Lge_Junior!$B:$B,0))),1,0))</f>
        <v/>
      </c>
      <c r="F294" s="2" t="str">
        <f>IF($G294="","",IF(AND(LEFT($O294,3)="You",ISERROR(MATCH($N294,Lge_Youth!$B:$B,0))),1,0))</f>
        <v/>
      </c>
      <c r="G294" s="3"/>
      <c r="H294" s="3"/>
      <c r="I294" s="3"/>
      <c r="J294" s="3"/>
      <c r="K294" s="6"/>
      <c r="L294" s="4"/>
      <c r="M294" s="4"/>
      <c r="N294" s="8"/>
      <c r="O294" s="8"/>
      <c r="P294" s="9"/>
      <c r="Q294" s="8"/>
      <c r="R294" s="8"/>
      <c r="S294" s="9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10"/>
    </row>
    <row r="295" spans="1:39" x14ac:dyDescent="0.2">
      <c r="A295" s="2" t="str">
        <f>IF($G295="","",IF(ISERROR(MATCH($N295,Lge_Scratch!$B:$B,0)),1,0))</f>
        <v/>
      </c>
      <c r="B295" s="2" t="str">
        <f>IF($G295="","",IF(AND(LEFT($Q295,8)="Non-aero",ISERROR(MATCH($N295,Lge_NonAero!$B:$B,0))),1,0))</f>
        <v/>
      </c>
      <c r="C295" s="5" t="str">
        <f>IF($G295="","",IF(AND(LEFT($O295,3)="Wom",ISERROR(MATCH($N295,Lge_Women!$B:$B,0))),1,0))</f>
        <v/>
      </c>
      <c r="D295" s="2" t="str">
        <f>IF($G295="","",IF(AND(OR($O295="Vet",$O295="Woman Vet"),ISERROR(MATCH($N295,Lge_Vets!$B:$B,0))),1,0))</f>
        <v/>
      </c>
      <c r="E295" s="2" t="str">
        <f>IF($G295="","",IF(AND(OR($O295="Junior",$O295="Woman Junior",$O295="Youth",$O295="Woman Youth"),ISERROR(MATCH($N295,Lge_Junior!$B:$B,0))),1,0))</f>
        <v/>
      </c>
      <c r="F295" s="2" t="str">
        <f>IF($G295="","",IF(AND(LEFT($O295,3)="You",ISERROR(MATCH($N295,Lge_Youth!$B:$B,0))),1,0))</f>
        <v/>
      </c>
      <c r="G295" s="3"/>
      <c r="H295" s="3"/>
      <c r="I295" s="3"/>
      <c r="J295" s="3"/>
      <c r="K295" s="6"/>
      <c r="L295" s="4"/>
      <c r="M295" s="4"/>
      <c r="N295" s="8"/>
      <c r="O295" s="8"/>
      <c r="P295" s="9"/>
      <c r="Q295" s="8"/>
      <c r="R295" s="8"/>
      <c r="S295" s="9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10"/>
    </row>
    <row r="296" spans="1:39" x14ac:dyDescent="0.2">
      <c r="A296" s="2" t="str">
        <f>IF($G296="","",IF(ISERROR(MATCH($N296,Lge_Scratch!$B:$B,0)),1,0))</f>
        <v/>
      </c>
      <c r="B296" s="2" t="str">
        <f>IF($G296="","",IF(AND(LEFT($Q296,8)="Non-aero",ISERROR(MATCH($N296,Lge_NonAero!$B:$B,0))),1,0))</f>
        <v/>
      </c>
      <c r="C296" s="5" t="str">
        <f>IF($G296="","",IF(AND(LEFT($O296,3)="Wom",ISERROR(MATCH($N296,Lge_Women!$B:$B,0))),1,0))</f>
        <v/>
      </c>
      <c r="D296" s="2" t="str">
        <f>IF($G296="","",IF(AND(OR($O296="Vet",$O296="Woman Vet"),ISERROR(MATCH($N296,Lge_Vets!$B:$B,0))),1,0))</f>
        <v/>
      </c>
      <c r="E296" s="2" t="str">
        <f>IF($G296="","",IF(AND(OR($O296="Junior",$O296="Woman Junior",$O296="Youth",$O296="Woman Youth"),ISERROR(MATCH($N296,Lge_Junior!$B:$B,0))),1,0))</f>
        <v/>
      </c>
      <c r="F296" s="2" t="str">
        <f>IF($G296="","",IF(AND(LEFT($O296,3)="You",ISERROR(MATCH($N296,Lge_Youth!$B:$B,0))),1,0))</f>
        <v/>
      </c>
      <c r="G296" s="3"/>
      <c r="H296" s="3"/>
      <c r="I296" s="3"/>
      <c r="J296" s="3"/>
      <c r="K296" s="6"/>
      <c r="L296" s="4"/>
      <c r="M296" s="4"/>
      <c r="N296" s="8"/>
      <c r="O296" s="8"/>
      <c r="P296" s="9"/>
      <c r="Q296" s="8"/>
      <c r="R296" s="8"/>
      <c r="S296" s="9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10"/>
    </row>
    <row r="297" spans="1:39" x14ac:dyDescent="0.2">
      <c r="A297" s="2" t="str">
        <f>IF($G297="","",IF(ISERROR(MATCH($N297,Lge_Scratch!$B:$B,0)),1,0))</f>
        <v/>
      </c>
      <c r="B297" s="2" t="str">
        <f>IF($G297="","",IF(AND(LEFT($Q297,8)="Non-aero",ISERROR(MATCH($N297,Lge_NonAero!$B:$B,0))),1,0))</f>
        <v/>
      </c>
      <c r="C297" s="5" t="str">
        <f>IF($G297="","",IF(AND(LEFT($O297,3)="Wom",ISERROR(MATCH($N297,Lge_Women!$B:$B,0))),1,0))</f>
        <v/>
      </c>
      <c r="D297" s="2" t="str">
        <f>IF($G297="","",IF(AND(OR($O297="Vet",$O297="Woman Vet"),ISERROR(MATCH($N297,Lge_Vets!$B:$B,0))),1,0))</f>
        <v/>
      </c>
      <c r="E297" s="2" t="str">
        <f>IF($G297="","",IF(AND(OR($O297="Junior",$O297="Woman Junior",$O297="Youth",$O297="Woman Youth"),ISERROR(MATCH($N297,Lge_Junior!$B:$B,0))),1,0))</f>
        <v/>
      </c>
      <c r="F297" s="2" t="str">
        <f>IF($G297="","",IF(AND(LEFT($O297,3)="You",ISERROR(MATCH($N297,Lge_Youth!$B:$B,0))),1,0))</f>
        <v/>
      </c>
      <c r="G297" s="3"/>
      <c r="H297" s="3"/>
      <c r="I297" s="3"/>
      <c r="J297" s="3"/>
      <c r="K297" s="6"/>
      <c r="L297" s="4"/>
      <c r="M297" s="4"/>
      <c r="N297" s="8"/>
      <c r="O297" s="8"/>
      <c r="P297" s="9"/>
      <c r="Q297" s="8"/>
      <c r="R297" s="8"/>
      <c r="S297" s="9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10"/>
    </row>
    <row r="298" spans="1:39" x14ac:dyDescent="0.2">
      <c r="A298" s="2" t="str">
        <f>IF($G298="","",IF(ISERROR(MATCH($N298,Lge_Scratch!$B:$B,0)),1,0))</f>
        <v/>
      </c>
      <c r="B298" s="2" t="str">
        <f>IF($G298="","",IF(AND(LEFT($Q298,8)="Non-aero",ISERROR(MATCH($N298,Lge_NonAero!$B:$B,0))),1,0))</f>
        <v/>
      </c>
      <c r="C298" s="5" t="str">
        <f>IF($G298="","",IF(AND(LEFT($O298,3)="Wom",ISERROR(MATCH($N298,Lge_Women!$B:$B,0))),1,0))</f>
        <v/>
      </c>
      <c r="D298" s="2" t="str">
        <f>IF($G298="","",IF(AND(OR($O298="Vet",$O298="Woman Vet"),ISERROR(MATCH($N298,Lge_Vets!$B:$B,0))),1,0))</f>
        <v/>
      </c>
      <c r="E298" s="2" t="str">
        <f>IF($G298="","",IF(AND(OR($O298="Junior",$O298="Woman Junior",$O298="Youth",$O298="Woman Youth"),ISERROR(MATCH($N298,Lge_Junior!$B:$B,0))),1,0))</f>
        <v/>
      </c>
      <c r="F298" s="2" t="str">
        <f>IF($G298="","",IF(AND(LEFT($O298,3)="You",ISERROR(MATCH($N298,Lge_Youth!$B:$B,0))),1,0))</f>
        <v/>
      </c>
      <c r="G298" s="3"/>
      <c r="H298" s="3"/>
      <c r="I298" s="3"/>
      <c r="J298" s="3"/>
      <c r="K298" s="6"/>
      <c r="L298" s="4"/>
      <c r="M298" s="4"/>
      <c r="N298" s="8"/>
      <c r="O298" s="8"/>
      <c r="P298" s="9"/>
      <c r="Q298" s="8"/>
      <c r="R298" s="8"/>
      <c r="S298" s="9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10"/>
    </row>
    <row r="299" spans="1:39" x14ac:dyDescent="0.2">
      <c r="A299" s="2" t="str">
        <f>IF($G299="","",IF(ISERROR(MATCH($N299,Lge_Scratch!$B:$B,0)),1,0))</f>
        <v/>
      </c>
      <c r="B299" s="2" t="str">
        <f>IF($G299="","",IF(AND(LEFT($Q299,8)="Non-aero",ISERROR(MATCH($N299,Lge_NonAero!$B:$B,0))),1,0))</f>
        <v/>
      </c>
      <c r="C299" s="5" t="str">
        <f>IF($G299="","",IF(AND(LEFT($O299,3)="Wom",ISERROR(MATCH($N299,Lge_Women!$B:$B,0))),1,0))</f>
        <v/>
      </c>
      <c r="D299" s="2" t="str">
        <f>IF($G299="","",IF(AND(OR($O299="Vet",$O299="Woman Vet"),ISERROR(MATCH($N299,Lge_Vets!$B:$B,0))),1,0))</f>
        <v/>
      </c>
      <c r="E299" s="2" t="str">
        <f>IF($G299="","",IF(AND(OR($O299="Junior",$O299="Woman Junior",$O299="Youth",$O299="Woman Youth"),ISERROR(MATCH($N299,Lge_Junior!$B:$B,0))),1,0))</f>
        <v/>
      </c>
      <c r="F299" s="2" t="str">
        <f>IF($G299="","",IF(AND(LEFT($O299,3)="You",ISERROR(MATCH($N299,Lge_Youth!$B:$B,0))),1,0))</f>
        <v/>
      </c>
      <c r="G299" s="3"/>
      <c r="H299" s="3"/>
      <c r="I299" s="3"/>
      <c r="J299" s="3"/>
      <c r="K299" s="6"/>
      <c r="L299" s="4"/>
      <c r="M299" s="4"/>
      <c r="N299" s="8"/>
      <c r="O299" s="8"/>
      <c r="P299" s="9"/>
      <c r="Q299" s="8"/>
      <c r="R299" s="8"/>
      <c r="S299" s="9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10"/>
    </row>
    <row r="300" spans="1:39" x14ac:dyDescent="0.2">
      <c r="A300" s="2" t="str">
        <f>IF($G300="","",IF(ISERROR(MATCH($N300,Lge_Scratch!$B:$B,0)),1,0))</f>
        <v/>
      </c>
      <c r="B300" s="2" t="str">
        <f>IF($G300="","",IF(AND(LEFT($Q300,8)="Non-aero",ISERROR(MATCH($N300,Lge_NonAero!$B:$B,0))),1,0))</f>
        <v/>
      </c>
      <c r="C300" s="5" t="str">
        <f>IF($G300="","",IF(AND(LEFT($O300,3)="Wom",ISERROR(MATCH($N300,Lge_Women!$B:$B,0))),1,0))</f>
        <v/>
      </c>
      <c r="D300" s="2" t="str">
        <f>IF($G300="","",IF(AND(OR($O300="Vet",$O300="Woman Vet"),ISERROR(MATCH($N300,Lge_Vets!$B:$B,0))),1,0))</f>
        <v/>
      </c>
      <c r="E300" s="2" t="str">
        <f>IF($G300="","",IF(AND(OR($O300="Junior",$O300="Woman Junior",$O300="Youth",$O300="Woman Youth"),ISERROR(MATCH($N300,Lge_Junior!$B:$B,0))),1,0))</f>
        <v/>
      </c>
      <c r="F300" s="2" t="str">
        <f>IF($G300="","",IF(AND(LEFT($O300,3)="You",ISERROR(MATCH($N300,Lge_Youth!$B:$B,0))),1,0))</f>
        <v/>
      </c>
      <c r="G300" s="3"/>
      <c r="H300" s="3"/>
      <c r="I300" s="3"/>
      <c r="J300" s="3"/>
      <c r="K300" s="6"/>
      <c r="L300" s="4"/>
      <c r="M300" s="4"/>
      <c r="N300" s="8"/>
      <c r="O300" s="8"/>
      <c r="P300" s="9"/>
      <c r="Q300" s="8"/>
      <c r="R300" s="8"/>
      <c r="S300" s="9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10"/>
    </row>
    <row r="301" spans="1:39" x14ac:dyDescent="0.2">
      <c r="A301" s="2" t="str">
        <f>IF($G301="","",IF(ISERROR(MATCH($N301,Lge_Scratch!$B:$B,0)),1,0))</f>
        <v/>
      </c>
      <c r="B301" s="2" t="str">
        <f>IF($G301="","",IF(AND(LEFT($Q301,8)="Non-aero",ISERROR(MATCH($N301,Lge_NonAero!$B:$B,0))),1,0))</f>
        <v/>
      </c>
      <c r="C301" s="5" t="str">
        <f>IF($G301="","",IF(AND(LEFT($O301,3)="Wom",ISERROR(MATCH($N301,Lge_Women!$B:$B,0))),1,0))</f>
        <v/>
      </c>
      <c r="D301" s="2" t="str">
        <f>IF($G301="","",IF(AND(OR($O301="Vet",$O301="Woman Vet"),ISERROR(MATCH($N301,Lge_Vets!$B:$B,0))),1,0))</f>
        <v/>
      </c>
      <c r="E301" s="2" t="str">
        <f>IF($G301="","",IF(AND(OR($O301="Junior",$O301="Woman Junior",$O301="Youth",$O301="Woman Youth"),ISERROR(MATCH($N301,Lge_Junior!$B:$B,0))),1,0))</f>
        <v/>
      </c>
      <c r="F301" s="2" t="str">
        <f>IF($G301="","",IF(AND(LEFT($O301,3)="You",ISERROR(MATCH($N301,Lge_Youth!$B:$B,0))),1,0))</f>
        <v/>
      </c>
      <c r="G301" s="3"/>
      <c r="H301" s="3"/>
      <c r="I301" s="3"/>
      <c r="J301" s="3"/>
      <c r="K301" s="6"/>
      <c r="L301" s="4"/>
      <c r="M301" s="4"/>
      <c r="N301" s="8"/>
      <c r="O301" s="8"/>
      <c r="P301" s="9"/>
      <c r="Q301" s="8"/>
      <c r="R301" s="8"/>
      <c r="S301" s="9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10"/>
    </row>
    <row r="302" spans="1:39" x14ac:dyDescent="0.2">
      <c r="A302" s="2" t="str">
        <f>IF($G302="","",IF(ISERROR(MATCH($N302,Lge_Scratch!$B:$B,0)),1,0))</f>
        <v/>
      </c>
      <c r="B302" s="2" t="str">
        <f>IF($G302="","",IF(AND(LEFT($Q302,8)="Non-aero",ISERROR(MATCH($N302,Lge_NonAero!$B:$B,0))),1,0))</f>
        <v/>
      </c>
      <c r="C302" s="5" t="str">
        <f>IF($G302="","",IF(AND(LEFT($O302,3)="Wom",ISERROR(MATCH($N302,Lge_Women!$B:$B,0))),1,0))</f>
        <v/>
      </c>
      <c r="D302" s="2" t="str">
        <f>IF($G302="","",IF(AND(OR($O302="Vet",$O302="Woman Vet"),ISERROR(MATCH($N302,Lge_Vets!$B:$B,0))),1,0))</f>
        <v/>
      </c>
      <c r="E302" s="2" t="str">
        <f>IF($G302="","",IF(AND(OR($O302="Junior",$O302="Woman Junior",$O302="Youth",$O302="Woman Youth"),ISERROR(MATCH($N302,Lge_Junior!$B:$B,0))),1,0))</f>
        <v/>
      </c>
      <c r="F302" s="2" t="str">
        <f>IF($G302="","",IF(AND(LEFT($O302,3)="You",ISERROR(MATCH($N302,Lge_Youth!$B:$B,0))),1,0))</f>
        <v/>
      </c>
      <c r="G302" s="3"/>
      <c r="H302" s="3"/>
      <c r="I302" s="3"/>
      <c r="J302" s="3"/>
      <c r="K302" s="6"/>
      <c r="L302" s="4"/>
      <c r="M302" s="4"/>
      <c r="N302" s="8"/>
      <c r="O302" s="8"/>
      <c r="P302" s="9"/>
      <c r="Q302" s="8"/>
      <c r="R302" s="8"/>
      <c r="S302" s="9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10"/>
    </row>
    <row r="303" spans="1:39" x14ac:dyDescent="0.2">
      <c r="A303" s="2" t="str">
        <f>IF($G303="","",IF(ISERROR(MATCH($N303,Lge_Scratch!$B:$B,0)),1,0))</f>
        <v/>
      </c>
      <c r="B303" s="2" t="str">
        <f>IF($G303="","",IF(AND(LEFT($Q303,8)="Non-aero",ISERROR(MATCH($N303,Lge_NonAero!$B:$B,0))),1,0))</f>
        <v/>
      </c>
      <c r="C303" s="5" t="str">
        <f>IF($G303="","",IF(AND(LEFT($O303,3)="Wom",ISERROR(MATCH($N303,Lge_Women!$B:$B,0))),1,0))</f>
        <v/>
      </c>
      <c r="D303" s="2" t="str">
        <f>IF($G303="","",IF(AND(OR($O303="Vet",$O303="Woman Vet"),ISERROR(MATCH($N303,Lge_Vets!$B:$B,0))),1,0))</f>
        <v/>
      </c>
      <c r="E303" s="2" t="str">
        <f>IF($G303="","",IF(AND(OR($O303="Junior",$O303="Woman Junior",$O303="Youth",$O303="Woman Youth"),ISERROR(MATCH($N303,Lge_Junior!$B:$B,0))),1,0))</f>
        <v/>
      </c>
      <c r="F303" s="2" t="str">
        <f>IF($G303="","",IF(AND(LEFT($O303,3)="You",ISERROR(MATCH($N303,Lge_Youth!$B:$B,0))),1,0))</f>
        <v/>
      </c>
      <c r="G303" s="3"/>
      <c r="H303" s="3"/>
      <c r="I303" s="3"/>
      <c r="J303" s="3"/>
      <c r="K303" s="6"/>
      <c r="L303" s="4"/>
      <c r="M303" s="4"/>
      <c r="N303" s="8"/>
      <c r="O303" s="8"/>
      <c r="P303" s="9"/>
      <c r="Q303" s="8"/>
      <c r="R303" s="8"/>
      <c r="S303" s="9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10"/>
    </row>
    <row r="304" spans="1:39" x14ac:dyDescent="0.2">
      <c r="A304" s="2" t="str">
        <f>IF($G304="","",IF(ISERROR(MATCH($N304,Lge_Scratch!$B:$B,0)),1,0))</f>
        <v/>
      </c>
      <c r="B304" s="2" t="str">
        <f>IF($G304="","",IF(AND(LEFT($Q304,8)="Non-aero",ISERROR(MATCH($N304,Lge_NonAero!$B:$B,0))),1,0))</f>
        <v/>
      </c>
      <c r="C304" s="5" t="str">
        <f>IF($G304="","",IF(AND(LEFT($O304,3)="Wom",ISERROR(MATCH($N304,Lge_Women!$B:$B,0))),1,0))</f>
        <v/>
      </c>
      <c r="D304" s="2" t="str">
        <f>IF($G304="","",IF(AND(OR($O304="Vet",$O304="Woman Vet"),ISERROR(MATCH($N304,Lge_Vets!$B:$B,0))),1,0))</f>
        <v/>
      </c>
      <c r="E304" s="2" t="str">
        <f>IF($G304="","",IF(AND(OR($O304="Junior",$O304="Woman Junior",$O304="Youth",$O304="Woman Youth"),ISERROR(MATCH($N304,Lge_Junior!$B:$B,0))),1,0))</f>
        <v/>
      </c>
      <c r="F304" s="2" t="str">
        <f>IF($G304="","",IF(AND(LEFT($O304,3)="You",ISERROR(MATCH($N304,Lge_Youth!$B:$B,0))),1,0))</f>
        <v/>
      </c>
      <c r="G304" s="3"/>
      <c r="H304" s="3"/>
      <c r="I304" s="3"/>
      <c r="J304" s="3"/>
      <c r="K304" s="6"/>
      <c r="L304" s="4"/>
      <c r="M304" s="4"/>
      <c r="N304" s="8"/>
      <c r="O304" s="8"/>
      <c r="P304" s="9"/>
      <c r="Q304" s="8"/>
      <c r="R304" s="8"/>
      <c r="S304" s="9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10"/>
    </row>
    <row r="305" spans="1:39" x14ac:dyDescent="0.2">
      <c r="A305" s="2" t="str">
        <f>IF($G305="","",IF(ISERROR(MATCH($N305,Lge_Scratch!$B:$B,0)),1,0))</f>
        <v/>
      </c>
      <c r="B305" s="2" t="str">
        <f>IF($G305="","",IF(AND(LEFT($Q305,8)="Non-aero",ISERROR(MATCH($N305,Lge_NonAero!$B:$B,0))),1,0))</f>
        <v/>
      </c>
      <c r="C305" s="5" t="str">
        <f>IF($G305="","",IF(AND(LEFT($O305,3)="Wom",ISERROR(MATCH($N305,Lge_Women!$B:$B,0))),1,0))</f>
        <v/>
      </c>
      <c r="D305" s="2" t="str">
        <f>IF($G305="","",IF(AND(OR($O305="Vet",$O305="Woman Vet"),ISERROR(MATCH($N305,Lge_Vets!$B:$B,0))),1,0))</f>
        <v/>
      </c>
      <c r="E305" s="2" t="str">
        <f>IF($G305="","",IF(AND(OR($O305="Junior",$O305="Woman Junior",$O305="Youth",$O305="Woman Youth"),ISERROR(MATCH($N305,Lge_Junior!$B:$B,0))),1,0))</f>
        <v/>
      </c>
      <c r="F305" s="2" t="str">
        <f>IF($G305="","",IF(AND(LEFT($O305,3)="You",ISERROR(MATCH($N305,Lge_Youth!$B:$B,0))),1,0))</f>
        <v/>
      </c>
      <c r="G305" s="3"/>
      <c r="H305" s="3"/>
      <c r="I305" s="3"/>
      <c r="J305" s="3"/>
      <c r="K305" s="6"/>
      <c r="L305" s="4"/>
      <c r="M305" s="4"/>
      <c r="N305" s="8"/>
      <c r="O305" s="8"/>
      <c r="P305" s="9"/>
      <c r="Q305" s="8"/>
      <c r="R305" s="8"/>
      <c r="S305" s="9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10"/>
    </row>
    <row r="306" spans="1:39" x14ac:dyDescent="0.2">
      <c r="A306" s="2" t="str">
        <f>IF($G306="","",IF(ISERROR(MATCH($N306,Lge_Scratch!$B:$B,0)),1,0))</f>
        <v/>
      </c>
      <c r="B306" s="2" t="str">
        <f>IF($G306="","",IF(AND(LEFT($Q306,8)="Non-aero",ISERROR(MATCH($N306,Lge_NonAero!$B:$B,0))),1,0))</f>
        <v/>
      </c>
      <c r="C306" s="5" t="str">
        <f>IF($G306="","",IF(AND(LEFT($O306,3)="Wom",ISERROR(MATCH($N306,Lge_Women!$B:$B,0))),1,0))</f>
        <v/>
      </c>
      <c r="D306" s="2" t="str">
        <f>IF($G306="","",IF(AND(OR($O306="Vet",$O306="Woman Vet"),ISERROR(MATCH($N306,Lge_Vets!$B:$B,0))),1,0))</f>
        <v/>
      </c>
      <c r="E306" s="2" t="str">
        <f>IF($G306="","",IF(AND(OR($O306="Junior",$O306="Woman Junior",$O306="Youth",$O306="Woman Youth"),ISERROR(MATCH($N306,Lge_Junior!$B:$B,0))),1,0))</f>
        <v/>
      </c>
      <c r="F306" s="2" t="str">
        <f>IF($G306="","",IF(AND(LEFT($O306,3)="You",ISERROR(MATCH($N306,Lge_Youth!$B:$B,0))),1,0))</f>
        <v/>
      </c>
      <c r="G306" s="3"/>
      <c r="H306" s="3"/>
      <c r="I306" s="3"/>
      <c r="J306" s="3"/>
      <c r="K306" s="6"/>
      <c r="L306" s="4"/>
      <c r="M306" s="4"/>
      <c r="N306" s="8"/>
      <c r="O306" s="8"/>
      <c r="P306" s="9"/>
      <c r="Q306" s="8"/>
      <c r="R306" s="8"/>
      <c r="S306" s="9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10"/>
    </row>
    <row r="307" spans="1:39" x14ac:dyDescent="0.2">
      <c r="A307" s="2" t="str">
        <f>IF($G307="","",IF(ISERROR(MATCH($N307,Lge_Scratch!$B:$B,0)),1,0))</f>
        <v/>
      </c>
      <c r="B307" s="2" t="str">
        <f>IF($G307="","",IF(AND(LEFT($Q307,8)="Non-aero",ISERROR(MATCH($N307,Lge_NonAero!$B:$B,0))),1,0))</f>
        <v/>
      </c>
      <c r="C307" s="5" t="str">
        <f>IF($G307="","",IF(AND(LEFT($O307,3)="Wom",ISERROR(MATCH($N307,Lge_Women!$B:$B,0))),1,0))</f>
        <v/>
      </c>
      <c r="D307" s="2" t="str">
        <f>IF($G307="","",IF(AND(OR($O307="Vet",$O307="Woman Vet"),ISERROR(MATCH($N307,Lge_Vets!$B:$B,0))),1,0))</f>
        <v/>
      </c>
      <c r="E307" s="2" t="str">
        <f>IF($G307="","",IF(AND(OR($O307="Junior",$O307="Woman Junior",$O307="Youth",$O307="Woman Youth"),ISERROR(MATCH($N307,Lge_Junior!$B:$B,0))),1,0))</f>
        <v/>
      </c>
      <c r="F307" s="2" t="str">
        <f>IF($G307="","",IF(AND(LEFT($O307,3)="You",ISERROR(MATCH($N307,Lge_Youth!$B:$B,0))),1,0))</f>
        <v/>
      </c>
      <c r="G307" s="3"/>
      <c r="H307" s="3"/>
      <c r="I307" s="3"/>
      <c r="J307" s="3"/>
      <c r="K307" s="6"/>
      <c r="L307" s="4"/>
      <c r="M307" s="4"/>
      <c r="N307" s="8"/>
      <c r="O307" s="8"/>
      <c r="P307" s="9"/>
      <c r="Q307" s="8"/>
      <c r="R307" s="8"/>
      <c r="S307" s="9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10"/>
    </row>
    <row r="308" spans="1:39" x14ac:dyDescent="0.2">
      <c r="A308" s="2" t="str">
        <f>IF($G308="","",IF(ISERROR(MATCH($N308,Lge_Scratch!$B:$B,0)),1,0))</f>
        <v/>
      </c>
      <c r="B308" s="2" t="str">
        <f>IF($G308="","",IF(AND(LEFT($Q308,8)="Non-aero",ISERROR(MATCH($N308,Lge_NonAero!$B:$B,0))),1,0))</f>
        <v/>
      </c>
      <c r="C308" s="5" t="str">
        <f>IF($G308="","",IF(AND(LEFT($O308,3)="Wom",ISERROR(MATCH($N308,Lge_Women!$B:$B,0))),1,0))</f>
        <v/>
      </c>
      <c r="D308" s="2" t="str">
        <f>IF($G308="","",IF(AND(OR($O308="Vet",$O308="Woman Vet"),ISERROR(MATCH($N308,Lge_Vets!$B:$B,0))),1,0))</f>
        <v/>
      </c>
      <c r="E308" s="2" t="str">
        <f>IF($G308="","",IF(AND(OR($O308="Junior",$O308="Woman Junior",$O308="Youth",$O308="Woman Youth"),ISERROR(MATCH($N308,Lge_Junior!$B:$B,0))),1,0))</f>
        <v/>
      </c>
      <c r="F308" s="2" t="str">
        <f>IF($G308="","",IF(AND(LEFT($O308,3)="You",ISERROR(MATCH($N308,Lge_Youth!$B:$B,0))),1,0))</f>
        <v/>
      </c>
      <c r="G308" s="3"/>
      <c r="H308" s="3"/>
      <c r="I308" s="3"/>
      <c r="J308" s="3"/>
      <c r="K308" s="6"/>
      <c r="L308" s="4"/>
      <c r="M308" s="4"/>
      <c r="N308" s="8"/>
      <c r="O308" s="8"/>
      <c r="P308" s="9"/>
      <c r="Q308" s="8"/>
      <c r="R308" s="8"/>
      <c r="S308" s="9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10"/>
    </row>
    <row r="309" spans="1:39" x14ac:dyDescent="0.2">
      <c r="A309" s="2" t="str">
        <f>IF($G309="","",IF(ISERROR(MATCH($N309,Lge_Scratch!$B:$B,0)),1,0))</f>
        <v/>
      </c>
      <c r="B309" s="2" t="str">
        <f>IF($G309="","",IF(AND(LEFT($Q309,8)="Non-aero",ISERROR(MATCH($N309,Lge_NonAero!$B:$B,0))),1,0))</f>
        <v/>
      </c>
      <c r="C309" s="5" t="str">
        <f>IF($G309="","",IF(AND(LEFT($O309,3)="Wom",ISERROR(MATCH($N309,Lge_Women!$B:$B,0))),1,0))</f>
        <v/>
      </c>
      <c r="D309" s="2" t="str">
        <f>IF($G309="","",IF(AND(OR($O309="Vet",$O309="Woman Vet"),ISERROR(MATCH($N309,Lge_Vets!$B:$B,0))),1,0))</f>
        <v/>
      </c>
      <c r="E309" s="2" t="str">
        <f>IF($G309="","",IF(AND(OR($O309="Junior",$O309="Woman Junior",$O309="Youth",$O309="Woman Youth"),ISERROR(MATCH($N309,Lge_Junior!$B:$B,0))),1,0))</f>
        <v/>
      </c>
      <c r="F309" s="2" t="str">
        <f>IF($G309="","",IF(AND(LEFT($O309,3)="You",ISERROR(MATCH($N309,Lge_Youth!$B:$B,0))),1,0))</f>
        <v/>
      </c>
      <c r="G309" s="3"/>
      <c r="H309" s="3"/>
      <c r="I309" s="3"/>
      <c r="J309" s="3"/>
      <c r="K309" s="6"/>
      <c r="L309" s="4"/>
      <c r="M309" s="4"/>
      <c r="N309" s="8"/>
      <c r="O309" s="8"/>
      <c r="P309" s="9"/>
      <c r="Q309" s="8"/>
      <c r="R309" s="8"/>
      <c r="S309" s="9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10"/>
    </row>
    <row r="310" spans="1:39" x14ac:dyDescent="0.2">
      <c r="A310" s="2" t="str">
        <f>IF($G310="","",IF(ISERROR(MATCH($N310,Lge_Scratch!$B:$B,0)),1,0))</f>
        <v/>
      </c>
      <c r="B310" s="2" t="str">
        <f>IF($G310="","",IF(AND(LEFT($Q310,8)="Non-aero",ISERROR(MATCH($N310,Lge_NonAero!$B:$B,0))),1,0))</f>
        <v/>
      </c>
      <c r="C310" s="5" t="str">
        <f>IF($G310="","",IF(AND(LEFT($O310,3)="Wom",ISERROR(MATCH($N310,Lge_Women!$B:$B,0))),1,0))</f>
        <v/>
      </c>
      <c r="D310" s="2" t="str">
        <f>IF($G310="","",IF(AND(OR($O310="Vet",$O310="Woman Vet"),ISERROR(MATCH($N310,Lge_Vets!$B:$B,0))),1,0))</f>
        <v/>
      </c>
      <c r="E310" s="2" t="str">
        <f>IF($G310="","",IF(AND(OR($O310="Junior",$O310="Woman Junior",$O310="Youth",$O310="Woman Youth"),ISERROR(MATCH($N310,Lge_Junior!$B:$B,0))),1,0))</f>
        <v/>
      </c>
      <c r="F310" s="2" t="str">
        <f>IF($G310="","",IF(AND(LEFT($O310,3)="You",ISERROR(MATCH($N310,Lge_Youth!$B:$B,0))),1,0))</f>
        <v/>
      </c>
      <c r="G310" s="3"/>
      <c r="H310" s="3"/>
      <c r="I310" s="3"/>
      <c r="J310" s="3"/>
      <c r="K310" s="6"/>
      <c r="L310" s="4"/>
      <c r="M310" s="4"/>
      <c r="N310" s="8"/>
      <c r="O310" s="8"/>
      <c r="P310" s="9"/>
      <c r="Q310" s="8"/>
      <c r="R310" s="8"/>
      <c r="S310" s="9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10"/>
    </row>
    <row r="311" spans="1:39" x14ac:dyDescent="0.2">
      <c r="A311" s="2" t="str">
        <f>IF($G311="","",IF(ISERROR(MATCH($N311,Lge_Scratch!$B:$B,0)),1,0))</f>
        <v/>
      </c>
      <c r="B311" s="2" t="str">
        <f>IF($G311="","",IF(AND(LEFT($Q311,8)="Non-aero",ISERROR(MATCH($N311,Lge_NonAero!$B:$B,0))),1,0))</f>
        <v/>
      </c>
      <c r="C311" s="5" t="str">
        <f>IF($G311="","",IF(AND(LEFT($O311,3)="Wom",ISERROR(MATCH($N311,Lge_Women!$B:$B,0))),1,0))</f>
        <v/>
      </c>
      <c r="D311" s="2" t="str">
        <f>IF($G311="","",IF(AND(OR($O311="Vet",$O311="Woman Vet"),ISERROR(MATCH($N311,Lge_Vets!$B:$B,0))),1,0))</f>
        <v/>
      </c>
      <c r="E311" s="2" t="str">
        <f>IF($G311="","",IF(AND(OR($O311="Junior",$O311="Woman Junior",$O311="Youth",$O311="Woman Youth"),ISERROR(MATCH($N311,Lge_Junior!$B:$B,0))),1,0))</f>
        <v/>
      </c>
      <c r="F311" s="2" t="str">
        <f>IF($G311="","",IF(AND(LEFT($O311,3)="You",ISERROR(MATCH($N311,Lge_Youth!$B:$B,0))),1,0))</f>
        <v/>
      </c>
      <c r="G311" s="3"/>
      <c r="H311" s="3"/>
      <c r="I311" s="3"/>
      <c r="J311" s="3"/>
      <c r="K311" s="6"/>
      <c r="L311" s="4"/>
      <c r="M311" s="4"/>
      <c r="N311" s="8"/>
      <c r="O311" s="8"/>
      <c r="P311" s="9"/>
      <c r="Q311" s="8"/>
      <c r="R311" s="8"/>
      <c r="S311" s="9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10"/>
    </row>
    <row r="312" spans="1:39" x14ac:dyDescent="0.2">
      <c r="A312" s="2" t="str">
        <f>IF($G312="","",IF(ISERROR(MATCH($N312,Lge_Scratch!$B:$B,0)),1,0))</f>
        <v/>
      </c>
      <c r="B312" s="2" t="str">
        <f>IF($G312="","",IF(AND(LEFT($Q312,8)="Non-aero",ISERROR(MATCH($N312,Lge_NonAero!$B:$B,0))),1,0))</f>
        <v/>
      </c>
      <c r="C312" s="5" t="str">
        <f>IF($G312="","",IF(AND(LEFT($O312,3)="Wom",ISERROR(MATCH($N312,Lge_Women!$B:$B,0))),1,0))</f>
        <v/>
      </c>
      <c r="D312" s="2" t="str">
        <f>IF($G312="","",IF(AND(OR($O312="Vet",$O312="Woman Vet"),ISERROR(MATCH($N312,Lge_Vets!$B:$B,0))),1,0))</f>
        <v/>
      </c>
      <c r="E312" s="2" t="str">
        <f>IF($G312="","",IF(AND(OR($O312="Junior",$O312="Woman Junior",$O312="Youth",$O312="Woman Youth"),ISERROR(MATCH($N312,Lge_Junior!$B:$B,0))),1,0))</f>
        <v/>
      </c>
      <c r="F312" s="2" t="str">
        <f>IF($G312="","",IF(AND(LEFT($O312,3)="You",ISERROR(MATCH($N312,Lge_Youth!$B:$B,0))),1,0))</f>
        <v/>
      </c>
      <c r="G312" s="3"/>
      <c r="H312" s="3"/>
      <c r="I312" s="3"/>
      <c r="J312" s="3"/>
      <c r="K312" s="6"/>
      <c r="L312" s="4"/>
      <c r="M312" s="4"/>
      <c r="N312" s="8"/>
      <c r="O312" s="8"/>
      <c r="P312" s="9"/>
      <c r="Q312" s="8"/>
      <c r="R312" s="8"/>
      <c r="S312" s="9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10"/>
    </row>
    <row r="313" spans="1:39" x14ac:dyDescent="0.2">
      <c r="A313" s="2" t="str">
        <f>IF($G313="","",IF(ISERROR(MATCH($N313,Lge_Scratch!$B:$B,0)),1,0))</f>
        <v/>
      </c>
      <c r="B313" s="2" t="str">
        <f>IF($G313="","",IF(AND(LEFT($Q313,8)="Non-aero",ISERROR(MATCH($N313,Lge_NonAero!$B:$B,0))),1,0))</f>
        <v/>
      </c>
      <c r="C313" s="5" t="str">
        <f>IF($G313="","",IF(AND(LEFT($O313,3)="Wom",ISERROR(MATCH($N313,Lge_Women!$B:$B,0))),1,0))</f>
        <v/>
      </c>
      <c r="D313" s="2" t="str">
        <f>IF($G313="","",IF(AND(OR($O313="Vet",$O313="Woman Vet"),ISERROR(MATCH($N313,Lge_Vets!$B:$B,0))),1,0))</f>
        <v/>
      </c>
      <c r="E313" s="2" t="str">
        <f>IF($G313="","",IF(AND(OR($O313="Junior",$O313="Woman Junior",$O313="Youth",$O313="Woman Youth"),ISERROR(MATCH($N313,Lge_Junior!$B:$B,0))),1,0))</f>
        <v/>
      </c>
      <c r="F313" s="2" t="str">
        <f>IF($G313="","",IF(AND(LEFT($O313,3)="You",ISERROR(MATCH($N313,Lge_Youth!$B:$B,0))),1,0))</f>
        <v/>
      </c>
      <c r="G313" s="3"/>
      <c r="H313" s="3"/>
      <c r="I313" s="3"/>
      <c r="J313" s="3"/>
      <c r="K313" s="6"/>
      <c r="L313" s="4"/>
      <c r="M313" s="4"/>
      <c r="N313" s="8"/>
      <c r="O313" s="8"/>
      <c r="P313" s="9"/>
      <c r="Q313" s="8"/>
      <c r="R313" s="8"/>
      <c r="S313" s="9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10"/>
    </row>
    <row r="314" spans="1:39" x14ac:dyDescent="0.2">
      <c r="A314" s="2" t="str">
        <f>IF($G314="","",IF(ISERROR(MATCH($N314,Lge_Scratch!$B:$B,0)),1,0))</f>
        <v/>
      </c>
      <c r="B314" s="2" t="str">
        <f>IF($G314="","",IF(AND(LEFT($Q314,8)="Non-aero",ISERROR(MATCH($N314,Lge_NonAero!$B:$B,0))),1,0))</f>
        <v/>
      </c>
      <c r="C314" s="5" t="str">
        <f>IF($G314="","",IF(AND(LEFT($O314,3)="Wom",ISERROR(MATCH($N314,Lge_Women!$B:$B,0))),1,0))</f>
        <v/>
      </c>
      <c r="D314" s="2" t="str">
        <f>IF($G314="","",IF(AND(OR($O314="Vet",$O314="Woman Vet"),ISERROR(MATCH($N314,Lge_Vets!$B:$B,0))),1,0))</f>
        <v/>
      </c>
      <c r="E314" s="2" t="str">
        <f>IF($G314="","",IF(AND(OR($O314="Junior",$O314="Woman Junior",$O314="Youth",$O314="Woman Youth"),ISERROR(MATCH($N314,Lge_Junior!$B:$B,0))),1,0))</f>
        <v/>
      </c>
      <c r="F314" s="2" t="str">
        <f>IF($G314="","",IF(AND(LEFT($O314,3)="You",ISERROR(MATCH($N314,Lge_Youth!$B:$B,0))),1,0))</f>
        <v/>
      </c>
      <c r="G314" s="3"/>
      <c r="H314" s="3"/>
      <c r="I314" s="3"/>
      <c r="J314" s="3"/>
      <c r="K314" s="6"/>
      <c r="L314" s="4"/>
      <c r="M314" s="4"/>
      <c r="N314" s="8"/>
      <c r="O314" s="8"/>
      <c r="P314" s="9"/>
      <c r="Q314" s="8"/>
      <c r="R314" s="8"/>
      <c r="S314" s="9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10"/>
    </row>
    <row r="315" spans="1:39" x14ac:dyDescent="0.2">
      <c r="A315" s="2" t="str">
        <f>IF($G315="","",IF(ISERROR(MATCH($N315,Lge_Scratch!$B:$B,0)),1,0))</f>
        <v/>
      </c>
      <c r="B315" s="2" t="str">
        <f>IF($G315="","",IF(AND(LEFT($Q315,8)="Non-aero",ISERROR(MATCH($N315,Lge_NonAero!$B:$B,0))),1,0))</f>
        <v/>
      </c>
      <c r="C315" s="5" t="str">
        <f>IF($G315="","",IF(AND(LEFT($O315,3)="Wom",ISERROR(MATCH($N315,Lge_Women!$B:$B,0))),1,0))</f>
        <v/>
      </c>
      <c r="D315" s="2" t="str">
        <f>IF($G315="","",IF(AND(OR($O315="Vet",$O315="Woman Vet"),ISERROR(MATCH($N315,Lge_Vets!$B:$B,0))),1,0))</f>
        <v/>
      </c>
      <c r="E315" s="2" t="str">
        <f>IF($G315="","",IF(AND(OR($O315="Junior",$O315="Woman Junior",$O315="Youth",$O315="Woman Youth"),ISERROR(MATCH($N315,Lge_Junior!$B:$B,0))),1,0))</f>
        <v/>
      </c>
      <c r="F315" s="2" t="str">
        <f>IF($G315="","",IF(AND(LEFT($O315,3)="You",ISERROR(MATCH($N315,Lge_Youth!$B:$B,0))),1,0))</f>
        <v/>
      </c>
      <c r="G315" s="3"/>
      <c r="H315" s="3"/>
      <c r="I315" s="3"/>
      <c r="J315" s="3"/>
      <c r="K315" s="6"/>
      <c r="L315" s="4"/>
      <c r="M315" s="4"/>
      <c r="N315" s="8"/>
      <c r="O315" s="8"/>
      <c r="P315" s="9"/>
      <c r="Q315" s="8"/>
      <c r="R315" s="8"/>
      <c r="S315" s="9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10"/>
    </row>
    <row r="316" spans="1:39" x14ac:dyDescent="0.2">
      <c r="A316" s="2" t="str">
        <f>IF($G316="","",IF(ISERROR(MATCH($N316,Lge_Scratch!$B:$B,0)),1,0))</f>
        <v/>
      </c>
      <c r="B316" s="2" t="str">
        <f>IF($G316="","",IF(AND(LEFT($Q316,8)="Non-aero",ISERROR(MATCH($N316,Lge_NonAero!$B:$B,0))),1,0))</f>
        <v/>
      </c>
      <c r="C316" s="5" t="str">
        <f>IF($G316="","",IF(AND(LEFT($O316,3)="Wom",ISERROR(MATCH($N316,Lge_Women!$B:$B,0))),1,0))</f>
        <v/>
      </c>
      <c r="D316" s="2" t="str">
        <f>IF($G316="","",IF(AND(OR($O316="Vet",$O316="Woman Vet"),ISERROR(MATCH($N316,Lge_Vets!$B:$B,0))),1,0))</f>
        <v/>
      </c>
      <c r="E316" s="2" t="str">
        <f>IF($G316="","",IF(AND(OR($O316="Junior",$O316="Woman Junior",$O316="Youth",$O316="Woman Youth"),ISERROR(MATCH($N316,Lge_Junior!$B:$B,0))),1,0))</f>
        <v/>
      </c>
      <c r="F316" s="2" t="str">
        <f>IF($G316="","",IF(AND(LEFT($O316,3)="You",ISERROR(MATCH($N316,Lge_Youth!$B:$B,0))),1,0))</f>
        <v/>
      </c>
      <c r="G316" s="3"/>
      <c r="H316" s="3"/>
      <c r="I316" s="3"/>
      <c r="J316" s="3"/>
      <c r="K316" s="6"/>
      <c r="L316" s="4"/>
      <c r="M316" s="4"/>
      <c r="N316" s="8"/>
      <c r="O316" s="8"/>
      <c r="P316" s="9"/>
      <c r="Q316" s="8"/>
      <c r="R316" s="8"/>
      <c r="S316" s="9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10"/>
    </row>
    <row r="317" spans="1:39" x14ac:dyDescent="0.2">
      <c r="A317" s="2" t="str">
        <f>IF($G317="","",IF(ISERROR(MATCH($N317,Lge_Scratch!$B:$B,0)),1,0))</f>
        <v/>
      </c>
      <c r="B317" s="2" t="str">
        <f>IF($G317="","",IF(AND(LEFT($Q317,8)="Non-aero",ISERROR(MATCH($N317,Lge_NonAero!$B:$B,0))),1,0))</f>
        <v/>
      </c>
      <c r="C317" s="5" t="str">
        <f>IF($G317="","",IF(AND(LEFT($O317,3)="Wom",ISERROR(MATCH($N317,Lge_Women!$B:$B,0))),1,0))</f>
        <v/>
      </c>
      <c r="D317" s="2" t="str">
        <f>IF($G317="","",IF(AND(OR($O317="Vet",$O317="Woman Vet"),ISERROR(MATCH($N317,Lge_Vets!$B:$B,0))),1,0))</f>
        <v/>
      </c>
      <c r="E317" s="2" t="str">
        <f>IF($G317="","",IF(AND(OR($O317="Junior",$O317="Woman Junior",$O317="Youth",$O317="Woman Youth"),ISERROR(MATCH($N317,Lge_Junior!$B:$B,0))),1,0))</f>
        <v/>
      </c>
      <c r="F317" s="2" t="str">
        <f>IF($G317="","",IF(AND(LEFT($O317,3)="You",ISERROR(MATCH($N317,Lge_Youth!$B:$B,0))),1,0))</f>
        <v/>
      </c>
      <c r="G317" s="3"/>
      <c r="H317" s="3"/>
      <c r="I317" s="3"/>
      <c r="J317" s="3"/>
      <c r="K317" s="6"/>
      <c r="L317" s="4"/>
      <c r="M317" s="4"/>
      <c r="N317" s="8"/>
      <c r="O317" s="8"/>
      <c r="P317" s="9"/>
      <c r="Q317" s="8"/>
      <c r="R317" s="8"/>
      <c r="S317" s="9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10"/>
    </row>
    <row r="318" spans="1:39" x14ac:dyDescent="0.2">
      <c r="A318" s="2" t="str">
        <f>IF($G318="","",IF(ISERROR(MATCH($N318,Lge_Scratch!$B:$B,0)),1,0))</f>
        <v/>
      </c>
      <c r="B318" s="2" t="str">
        <f>IF($G318="","",IF(AND(LEFT($Q318,8)="Non-aero",ISERROR(MATCH($N318,Lge_NonAero!$B:$B,0))),1,0))</f>
        <v/>
      </c>
      <c r="C318" s="5" t="str">
        <f>IF($G318="","",IF(AND(LEFT($O318,3)="Wom",ISERROR(MATCH($N318,Lge_Women!$B:$B,0))),1,0))</f>
        <v/>
      </c>
      <c r="D318" s="2" t="str">
        <f>IF($G318="","",IF(AND(OR($O318="Vet",$O318="Woman Vet"),ISERROR(MATCH($N318,Lge_Vets!$B:$B,0))),1,0))</f>
        <v/>
      </c>
      <c r="E318" s="2" t="str">
        <f>IF($G318="","",IF(AND(OR($O318="Junior",$O318="Woman Junior",$O318="Youth",$O318="Woman Youth"),ISERROR(MATCH($N318,Lge_Junior!$B:$B,0))),1,0))</f>
        <v/>
      </c>
      <c r="F318" s="2" t="str">
        <f>IF($G318="","",IF(AND(LEFT($O318,3)="You",ISERROR(MATCH($N318,Lge_Youth!$B:$B,0))),1,0))</f>
        <v/>
      </c>
      <c r="G318" s="3"/>
      <c r="H318" s="3"/>
      <c r="I318" s="3"/>
      <c r="J318" s="3"/>
      <c r="K318" s="6"/>
      <c r="L318" s="4"/>
      <c r="M318" s="4"/>
      <c r="N318" s="8"/>
      <c r="O318" s="8"/>
      <c r="P318" s="9"/>
      <c r="Q318" s="8"/>
      <c r="R318" s="8"/>
      <c r="S318" s="9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10"/>
    </row>
    <row r="319" spans="1:39" x14ac:dyDescent="0.2">
      <c r="A319" s="2" t="str">
        <f>IF($G319="","",IF(ISERROR(MATCH($N319,Lge_Scratch!$B:$B,0)),1,0))</f>
        <v/>
      </c>
      <c r="B319" s="2" t="str">
        <f>IF($G319="","",IF(AND(LEFT($Q319,8)="Non-aero",ISERROR(MATCH($N319,Lge_NonAero!$B:$B,0))),1,0))</f>
        <v/>
      </c>
      <c r="C319" s="5" t="str">
        <f>IF($G319="","",IF(AND(LEFT($O319,3)="Wom",ISERROR(MATCH($N319,Lge_Women!$B:$B,0))),1,0))</f>
        <v/>
      </c>
      <c r="D319" s="2" t="str">
        <f>IF($G319="","",IF(AND(OR($O319="Vet",$O319="Woman Vet"),ISERROR(MATCH($N319,Lge_Vets!$B:$B,0))),1,0))</f>
        <v/>
      </c>
      <c r="E319" s="2" t="str">
        <f>IF($G319="","",IF(AND(OR($O319="Junior",$O319="Woman Junior",$O319="Youth",$O319="Woman Youth"),ISERROR(MATCH($N319,Lge_Junior!$B:$B,0))),1,0))</f>
        <v/>
      </c>
      <c r="F319" s="2" t="str">
        <f>IF($G319="","",IF(AND(LEFT($O319,3)="You",ISERROR(MATCH($N319,Lge_Youth!$B:$B,0))),1,0))</f>
        <v/>
      </c>
      <c r="G319" s="3"/>
      <c r="H319" s="3"/>
      <c r="I319" s="3"/>
      <c r="J319" s="3"/>
      <c r="K319" s="6"/>
      <c r="L319" s="4"/>
      <c r="M319" s="4"/>
      <c r="N319" s="8"/>
      <c r="O319" s="8"/>
      <c r="P319" s="9"/>
      <c r="Q319" s="8"/>
      <c r="R319" s="8"/>
      <c r="S319" s="9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10"/>
    </row>
    <row r="320" spans="1:39" x14ac:dyDescent="0.2">
      <c r="A320" s="2" t="str">
        <f>IF($G320="","",IF(ISERROR(MATCH($N320,Lge_Scratch!$B:$B,0)),1,0))</f>
        <v/>
      </c>
      <c r="B320" s="2" t="str">
        <f>IF($G320="","",IF(AND(LEFT($Q320,8)="Non-aero",ISERROR(MATCH($N320,Lge_NonAero!$B:$B,0))),1,0))</f>
        <v/>
      </c>
      <c r="C320" s="5" t="str">
        <f>IF($G320="","",IF(AND(LEFT($O320,3)="Wom",ISERROR(MATCH($N320,Lge_Women!$B:$B,0))),1,0))</f>
        <v/>
      </c>
      <c r="D320" s="2" t="str">
        <f>IF($G320="","",IF(AND(OR($O320="Vet",$O320="Woman Vet"),ISERROR(MATCH($N320,Lge_Vets!$B:$B,0))),1,0))</f>
        <v/>
      </c>
      <c r="E320" s="2" t="str">
        <f>IF($G320="","",IF(AND(OR($O320="Junior",$O320="Woman Junior",$O320="Youth",$O320="Woman Youth"),ISERROR(MATCH($N320,Lge_Junior!$B:$B,0))),1,0))</f>
        <v/>
      </c>
      <c r="F320" s="2" t="str">
        <f>IF($G320="","",IF(AND(LEFT($O320,3)="You",ISERROR(MATCH($N320,Lge_Youth!$B:$B,0))),1,0))</f>
        <v/>
      </c>
      <c r="G320" s="3"/>
      <c r="H320" s="3"/>
      <c r="I320" s="3"/>
      <c r="J320" s="3"/>
      <c r="K320" s="6"/>
      <c r="L320" s="4"/>
      <c r="M320" s="4"/>
      <c r="N320" s="8"/>
      <c r="O320" s="8"/>
      <c r="P320" s="9"/>
      <c r="Q320" s="8"/>
      <c r="R320" s="8"/>
      <c r="S320" s="9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10"/>
    </row>
    <row r="321" spans="1:39" x14ac:dyDescent="0.2">
      <c r="A321" s="2" t="str">
        <f>IF($G321="","",IF(ISERROR(MATCH($N321,Lge_Scratch!$B:$B,0)),1,0))</f>
        <v/>
      </c>
      <c r="B321" s="2" t="str">
        <f>IF($G321="","",IF(AND(LEFT($Q321,8)="Non-aero",ISERROR(MATCH($N321,Lge_NonAero!$B:$B,0))),1,0))</f>
        <v/>
      </c>
      <c r="C321" s="5" t="str">
        <f>IF($G321="","",IF(AND(LEFT($O321,3)="Wom",ISERROR(MATCH($N321,Lge_Women!$B:$B,0))),1,0))</f>
        <v/>
      </c>
      <c r="D321" s="2" t="str">
        <f>IF($G321="","",IF(AND(OR($O321="Vet",$O321="Woman Vet"),ISERROR(MATCH($N321,Lge_Vets!$B:$B,0))),1,0))</f>
        <v/>
      </c>
      <c r="E321" s="2" t="str">
        <f>IF($G321="","",IF(AND(OR($O321="Junior",$O321="Woman Junior",$O321="Youth",$O321="Woman Youth"),ISERROR(MATCH($N321,Lge_Junior!$B:$B,0))),1,0))</f>
        <v/>
      </c>
      <c r="F321" s="2" t="str">
        <f>IF($G321="","",IF(AND(LEFT($O321,3)="You",ISERROR(MATCH($N321,Lge_Youth!$B:$B,0))),1,0))</f>
        <v/>
      </c>
      <c r="G321" s="3"/>
      <c r="H321" s="3"/>
      <c r="I321" s="3"/>
      <c r="J321" s="3"/>
      <c r="K321" s="6"/>
      <c r="L321" s="4"/>
      <c r="M321" s="4"/>
      <c r="N321" s="8"/>
      <c r="O321" s="8"/>
      <c r="P321" s="9"/>
      <c r="Q321" s="8"/>
      <c r="R321" s="8"/>
      <c r="S321" s="9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10"/>
    </row>
    <row r="322" spans="1:39" x14ac:dyDescent="0.2">
      <c r="A322" s="2" t="str">
        <f>IF($G322="","",IF(ISERROR(MATCH($N322,Lge_Scratch!$B:$B,0)),1,0))</f>
        <v/>
      </c>
      <c r="B322" s="2" t="str">
        <f>IF($G322="","",IF(AND(LEFT($Q322,8)="Non-aero",ISERROR(MATCH($N322,Lge_NonAero!$B:$B,0))),1,0))</f>
        <v/>
      </c>
      <c r="C322" s="5" t="str">
        <f>IF($G322="","",IF(AND(LEFT($O322,3)="Wom",ISERROR(MATCH($N322,Lge_Women!$B:$B,0))),1,0))</f>
        <v/>
      </c>
      <c r="D322" s="2" t="str">
        <f>IF($G322="","",IF(AND(OR($O322="Vet",$O322="Woman Vet"),ISERROR(MATCH($N322,Lge_Vets!$B:$B,0))),1,0))</f>
        <v/>
      </c>
      <c r="E322" s="2" t="str">
        <f>IF($G322="","",IF(AND(OR($O322="Junior",$O322="Woman Junior",$O322="Youth",$O322="Woman Youth"),ISERROR(MATCH($N322,Lge_Junior!$B:$B,0))),1,0))</f>
        <v/>
      </c>
      <c r="F322" s="2" t="str">
        <f>IF($G322="","",IF(AND(LEFT($O322,3)="You",ISERROR(MATCH($N322,Lge_Youth!$B:$B,0))),1,0))</f>
        <v/>
      </c>
      <c r="G322" s="3"/>
      <c r="H322" s="3"/>
      <c r="I322" s="3"/>
      <c r="J322" s="3"/>
      <c r="K322" s="6"/>
      <c r="L322" s="4"/>
      <c r="M322" s="4"/>
      <c r="N322" s="8"/>
      <c r="O322" s="8"/>
      <c r="P322" s="9"/>
      <c r="Q322" s="8"/>
      <c r="R322" s="8"/>
      <c r="S322" s="9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10"/>
    </row>
    <row r="323" spans="1:39" x14ac:dyDescent="0.2">
      <c r="A323" s="2" t="str">
        <f>IF($G323="","",IF(ISERROR(MATCH($N323,Lge_Scratch!$B:$B,0)),1,0))</f>
        <v/>
      </c>
      <c r="B323" s="2" t="str">
        <f>IF($G323="","",IF(AND(LEFT($Q323,8)="Non-aero",ISERROR(MATCH($N323,Lge_NonAero!$B:$B,0))),1,0))</f>
        <v/>
      </c>
      <c r="C323" s="5" t="str">
        <f>IF($G323="","",IF(AND(LEFT($O323,3)="Wom",ISERROR(MATCH($N323,Lge_Women!$B:$B,0))),1,0))</f>
        <v/>
      </c>
      <c r="D323" s="2" t="str">
        <f>IF($G323="","",IF(AND(OR($O323="Vet",$O323="Woman Vet"),ISERROR(MATCH($N323,Lge_Vets!$B:$B,0))),1,0))</f>
        <v/>
      </c>
      <c r="E323" s="2" t="str">
        <f>IF($G323="","",IF(AND(OR($O323="Junior",$O323="Woman Junior",$O323="Youth",$O323="Woman Youth"),ISERROR(MATCH($N323,Lge_Junior!$B:$B,0))),1,0))</f>
        <v/>
      </c>
      <c r="F323" s="2" t="str">
        <f>IF($G323="","",IF(AND(LEFT($O323,3)="You",ISERROR(MATCH($N323,Lge_Youth!$B:$B,0))),1,0))</f>
        <v/>
      </c>
      <c r="G323" s="3"/>
      <c r="H323" s="3"/>
      <c r="I323" s="3"/>
      <c r="J323" s="3"/>
      <c r="K323" s="6"/>
      <c r="L323" s="4"/>
      <c r="M323" s="4"/>
      <c r="N323" s="8"/>
      <c r="O323" s="8"/>
      <c r="P323" s="9"/>
      <c r="Q323" s="8"/>
      <c r="R323" s="8"/>
      <c r="S323" s="9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10"/>
    </row>
    <row r="324" spans="1:39" x14ac:dyDescent="0.2">
      <c r="A324" s="2" t="str">
        <f>IF($G324="","",IF(ISERROR(MATCH($N324,Lge_Scratch!$B:$B,0)),1,0))</f>
        <v/>
      </c>
      <c r="B324" s="2" t="str">
        <f>IF($G324="","",IF(AND(LEFT($Q324,8)="Non-aero",ISERROR(MATCH($N324,Lge_NonAero!$B:$B,0))),1,0))</f>
        <v/>
      </c>
      <c r="C324" s="5" t="str">
        <f>IF($G324="","",IF(AND(LEFT($O324,3)="Wom",ISERROR(MATCH($N324,Lge_Women!$B:$B,0))),1,0))</f>
        <v/>
      </c>
      <c r="D324" s="2" t="str">
        <f>IF($G324="","",IF(AND(OR($O324="Vet",$O324="Woman Vet"),ISERROR(MATCH($N324,Lge_Vets!$B:$B,0))),1,0))</f>
        <v/>
      </c>
      <c r="E324" s="2" t="str">
        <f>IF($G324="","",IF(AND(OR($O324="Junior",$O324="Woman Junior",$O324="Youth",$O324="Woman Youth"),ISERROR(MATCH($N324,Lge_Junior!$B:$B,0))),1,0))</f>
        <v/>
      </c>
      <c r="F324" s="2" t="str">
        <f>IF($G324="","",IF(AND(LEFT($O324,3)="You",ISERROR(MATCH($N324,Lge_Youth!$B:$B,0))),1,0))</f>
        <v/>
      </c>
      <c r="G324" s="3"/>
      <c r="H324" s="3"/>
      <c r="I324" s="3"/>
      <c r="J324" s="3"/>
      <c r="K324" s="6"/>
      <c r="L324" s="4"/>
      <c r="M324" s="4"/>
      <c r="N324" s="8"/>
      <c r="O324" s="8"/>
      <c r="P324" s="9"/>
      <c r="Q324" s="8"/>
      <c r="R324" s="8"/>
      <c r="S324" s="9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10"/>
    </row>
    <row r="325" spans="1:39" x14ac:dyDescent="0.2">
      <c r="A325" s="2" t="str">
        <f>IF($G325="","",IF(ISERROR(MATCH($N325,Lge_Scratch!$B:$B,0)),1,0))</f>
        <v/>
      </c>
      <c r="B325" s="2" t="str">
        <f>IF($G325="","",IF(AND(LEFT($Q325,8)="Non-aero",ISERROR(MATCH($N325,Lge_NonAero!$B:$B,0))),1,0))</f>
        <v/>
      </c>
      <c r="C325" s="5" t="str">
        <f>IF($G325="","",IF(AND(LEFT($O325,3)="Wom",ISERROR(MATCH($N325,Lge_Women!$B:$B,0))),1,0))</f>
        <v/>
      </c>
      <c r="D325" s="2" t="str">
        <f>IF($G325="","",IF(AND(OR($O325="Vet",$O325="Woman Vet"),ISERROR(MATCH($N325,Lge_Vets!$B:$B,0))),1,0))</f>
        <v/>
      </c>
      <c r="E325" s="2" t="str">
        <f>IF($G325="","",IF(AND(OR($O325="Junior",$O325="Woman Junior",$O325="Youth",$O325="Woman Youth"),ISERROR(MATCH($N325,Lge_Junior!$B:$B,0))),1,0))</f>
        <v/>
      </c>
      <c r="F325" s="2" t="str">
        <f>IF($G325="","",IF(AND(LEFT($O325,3)="You",ISERROR(MATCH($N325,Lge_Youth!$B:$B,0))),1,0))</f>
        <v/>
      </c>
      <c r="G325" s="3"/>
      <c r="H325" s="3"/>
      <c r="I325" s="3"/>
      <c r="J325" s="3"/>
      <c r="K325" s="6"/>
      <c r="L325" s="4"/>
      <c r="M325" s="4"/>
      <c r="N325" s="8"/>
      <c r="O325" s="8"/>
      <c r="P325" s="9"/>
      <c r="Q325" s="8"/>
      <c r="R325" s="8"/>
      <c r="S325" s="9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10"/>
    </row>
    <row r="326" spans="1:39" x14ac:dyDescent="0.2">
      <c r="A326" s="2" t="str">
        <f>IF($G326="","",IF(ISERROR(MATCH($N326,Lge_Scratch!$B:$B,0)),1,0))</f>
        <v/>
      </c>
      <c r="B326" s="2" t="str">
        <f>IF($G326="","",IF(AND(LEFT($Q326,8)="Non-aero",ISERROR(MATCH($N326,Lge_NonAero!$B:$B,0))),1,0))</f>
        <v/>
      </c>
      <c r="C326" s="5" t="str">
        <f>IF($G326="","",IF(AND(LEFT($O326,3)="Wom",ISERROR(MATCH($N326,Lge_Women!$B:$B,0))),1,0))</f>
        <v/>
      </c>
      <c r="D326" s="2" t="str">
        <f>IF($G326="","",IF(AND(OR($O326="Vet",$O326="Woman Vet"),ISERROR(MATCH($N326,Lge_Vets!$B:$B,0))),1,0))</f>
        <v/>
      </c>
      <c r="E326" s="2" t="str">
        <f>IF($G326="","",IF(AND(OR($O326="Junior",$O326="Woman Junior",$O326="Youth",$O326="Woman Youth"),ISERROR(MATCH($N326,Lge_Junior!$B:$B,0))),1,0))</f>
        <v/>
      </c>
      <c r="F326" s="2" t="str">
        <f>IF($G326="","",IF(AND(LEFT($O326,3)="You",ISERROR(MATCH($N326,Lge_Youth!$B:$B,0))),1,0))</f>
        <v/>
      </c>
      <c r="G326" s="3"/>
      <c r="H326" s="3"/>
      <c r="I326" s="3"/>
      <c r="J326" s="3"/>
      <c r="K326" s="6"/>
      <c r="L326" s="4"/>
      <c r="M326" s="4"/>
      <c r="N326" s="8"/>
      <c r="O326" s="8"/>
      <c r="P326" s="9"/>
      <c r="Q326" s="8"/>
      <c r="R326" s="8"/>
      <c r="S326" s="9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10"/>
    </row>
    <row r="327" spans="1:39" x14ac:dyDescent="0.2">
      <c r="A327" s="2" t="str">
        <f>IF($G327="","",IF(ISERROR(MATCH($N327,Lge_Scratch!$B:$B,0)),1,0))</f>
        <v/>
      </c>
      <c r="B327" s="2" t="str">
        <f>IF($G327="","",IF(AND(LEFT($Q327,8)="Non-aero",ISERROR(MATCH($N327,Lge_NonAero!$B:$B,0))),1,0))</f>
        <v/>
      </c>
      <c r="C327" s="5" t="str">
        <f>IF($G327="","",IF(AND(LEFT($O327,3)="Wom",ISERROR(MATCH($N327,Lge_Women!$B:$B,0))),1,0))</f>
        <v/>
      </c>
      <c r="D327" s="2" t="str">
        <f>IF($G327="","",IF(AND(OR($O327="Vet",$O327="Woman Vet"),ISERROR(MATCH($N327,Lge_Vets!$B:$B,0))),1,0))</f>
        <v/>
      </c>
      <c r="E327" s="2" t="str">
        <f>IF($G327="","",IF(AND(OR($O327="Junior",$O327="Woman Junior",$O327="Youth",$O327="Woman Youth"),ISERROR(MATCH($N327,Lge_Junior!$B:$B,0))),1,0))</f>
        <v/>
      </c>
      <c r="F327" s="2" t="str">
        <f>IF($G327="","",IF(AND(LEFT($O327,3)="You",ISERROR(MATCH($N327,Lge_Youth!$B:$B,0))),1,0))</f>
        <v/>
      </c>
      <c r="G327" s="3"/>
      <c r="H327" s="3"/>
      <c r="I327" s="3"/>
      <c r="J327" s="3"/>
      <c r="K327" s="6"/>
      <c r="L327" s="4"/>
      <c r="M327" s="4"/>
      <c r="N327" s="8"/>
      <c r="O327" s="8"/>
      <c r="P327" s="9"/>
      <c r="Q327" s="8"/>
      <c r="R327" s="8"/>
      <c r="S327" s="9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10"/>
    </row>
    <row r="328" spans="1:39" x14ac:dyDescent="0.2">
      <c r="A328" s="2" t="str">
        <f>IF($G328="","",IF(ISERROR(MATCH($N328,Lge_Scratch!$B:$B,0)),1,0))</f>
        <v/>
      </c>
      <c r="B328" s="2" t="str">
        <f>IF($G328="","",IF(AND(LEFT($Q328,8)="Non-aero",ISERROR(MATCH($N328,Lge_NonAero!$B:$B,0))),1,0))</f>
        <v/>
      </c>
      <c r="C328" s="5" t="str">
        <f>IF($G328="","",IF(AND(LEFT($O328,3)="Wom",ISERROR(MATCH($N328,Lge_Women!$B:$B,0))),1,0))</f>
        <v/>
      </c>
      <c r="D328" s="2" t="str">
        <f>IF($G328="","",IF(AND(OR($O328="Vet",$O328="Woman Vet"),ISERROR(MATCH($N328,Lge_Vets!$B:$B,0))),1,0))</f>
        <v/>
      </c>
      <c r="E328" s="2" t="str">
        <f>IF($G328="","",IF(AND(OR($O328="Junior",$O328="Woman Junior",$O328="Youth",$O328="Woman Youth"),ISERROR(MATCH($N328,Lge_Junior!$B:$B,0))),1,0))</f>
        <v/>
      </c>
      <c r="F328" s="2" t="str">
        <f>IF($G328="","",IF(AND(LEFT($O328,3)="You",ISERROR(MATCH($N328,Lge_Youth!$B:$B,0))),1,0))</f>
        <v/>
      </c>
      <c r="G328" s="3"/>
      <c r="H328" s="3"/>
      <c r="I328" s="3"/>
      <c r="J328" s="3"/>
      <c r="K328" s="6"/>
      <c r="L328" s="4"/>
      <c r="M328" s="4"/>
      <c r="N328" s="8"/>
      <c r="O328" s="8"/>
      <c r="P328" s="9"/>
      <c r="Q328" s="8"/>
      <c r="R328" s="8"/>
      <c r="S328" s="9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10"/>
    </row>
    <row r="329" spans="1:39" x14ac:dyDescent="0.2">
      <c r="A329" s="2" t="str">
        <f>IF($G329="","",IF(ISERROR(MATCH($N329,Lge_Scratch!$B:$B,0)),1,0))</f>
        <v/>
      </c>
      <c r="B329" s="2" t="str">
        <f>IF($G329="","",IF(AND(LEFT($Q329,8)="Non-aero",ISERROR(MATCH($N329,Lge_NonAero!$B:$B,0))),1,0))</f>
        <v/>
      </c>
      <c r="C329" s="5" t="str">
        <f>IF($G329="","",IF(AND(LEFT($O329,3)="Wom",ISERROR(MATCH($N329,Lge_Women!$B:$B,0))),1,0))</f>
        <v/>
      </c>
      <c r="D329" s="2" t="str">
        <f>IF($G329="","",IF(AND(OR($O329="Vet",$O329="Woman Vet"),ISERROR(MATCH($N329,Lge_Vets!$B:$B,0))),1,0))</f>
        <v/>
      </c>
      <c r="E329" s="2" t="str">
        <f>IF($G329="","",IF(AND(OR($O329="Junior",$O329="Woman Junior",$O329="Youth",$O329="Woman Youth"),ISERROR(MATCH($N329,Lge_Junior!$B:$B,0))),1,0))</f>
        <v/>
      </c>
      <c r="F329" s="2" t="str">
        <f>IF($G329="","",IF(AND(LEFT($O329,3)="You",ISERROR(MATCH($N329,Lge_Youth!$B:$B,0))),1,0))</f>
        <v/>
      </c>
      <c r="G329" s="3"/>
      <c r="H329" s="3"/>
      <c r="I329" s="3"/>
      <c r="J329" s="3"/>
      <c r="K329" s="6"/>
      <c r="L329" s="4"/>
      <c r="M329" s="4"/>
      <c r="N329" s="8"/>
      <c r="O329" s="8"/>
      <c r="P329" s="9"/>
      <c r="Q329" s="8"/>
      <c r="R329" s="8"/>
      <c r="S329" s="9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10"/>
    </row>
    <row r="330" spans="1:39" x14ac:dyDescent="0.2">
      <c r="A330" s="2" t="str">
        <f>IF($G330="","",IF(ISERROR(MATCH($N330,Lge_Scratch!$B:$B,0)),1,0))</f>
        <v/>
      </c>
      <c r="B330" s="2" t="str">
        <f>IF($G330="","",IF(AND(LEFT($Q330,8)="Non-aero",ISERROR(MATCH($N330,Lge_NonAero!$B:$B,0))),1,0))</f>
        <v/>
      </c>
      <c r="C330" s="5" t="str">
        <f>IF($G330="","",IF(AND(LEFT($O330,3)="Wom",ISERROR(MATCH($N330,Lge_Women!$B:$B,0))),1,0))</f>
        <v/>
      </c>
      <c r="D330" s="2" t="str">
        <f>IF($G330="","",IF(AND(OR($O330="Vet",$O330="Woman Vet"),ISERROR(MATCH($N330,Lge_Vets!$B:$B,0))),1,0))</f>
        <v/>
      </c>
      <c r="E330" s="2" t="str">
        <f>IF($G330="","",IF(AND(OR($O330="Junior",$O330="Woman Junior",$O330="Youth",$O330="Woman Youth"),ISERROR(MATCH($N330,Lge_Junior!$B:$B,0))),1,0))</f>
        <v/>
      </c>
      <c r="F330" s="2" t="str">
        <f>IF($G330="","",IF(AND(LEFT($O330,3)="You",ISERROR(MATCH($N330,Lge_Youth!$B:$B,0))),1,0))</f>
        <v/>
      </c>
      <c r="G330" s="3"/>
      <c r="H330" s="3"/>
      <c r="I330" s="3"/>
      <c r="J330" s="3"/>
      <c r="K330" s="6"/>
      <c r="L330" s="4"/>
      <c r="M330" s="4"/>
      <c r="N330" s="8"/>
      <c r="O330" s="8"/>
      <c r="P330" s="9"/>
      <c r="Q330" s="8"/>
      <c r="R330" s="8"/>
      <c r="S330" s="9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10"/>
    </row>
    <row r="331" spans="1:39" x14ac:dyDescent="0.2">
      <c r="A331" s="2" t="str">
        <f>IF($G331="","",IF(ISERROR(MATCH($N331,Lge_Scratch!$B:$B,0)),1,0))</f>
        <v/>
      </c>
      <c r="B331" s="2" t="str">
        <f>IF($G331="","",IF(AND(LEFT($Q331,8)="Non-aero",ISERROR(MATCH($N331,Lge_NonAero!$B:$B,0))),1,0))</f>
        <v/>
      </c>
      <c r="C331" s="5" t="str">
        <f>IF($G331="","",IF(AND(LEFT($O331,3)="Wom",ISERROR(MATCH($N331,Lge_Women!$B:$B,0))),1,0))</f>
        <v/>
      </c>
      <c r="D331" s="2" t="str">
        <f>IF($G331="","",IF(AND(OR($O331="Vet",$O331="Woman Vet"),ISERROR(MATCH($N331,Lge_Vets!$B:$B,0))),1,0))</f>
        <v/>
      </c>
      <c r="E331" s="2" t="str">
        <f>IF($G331="","",IF(AND(OR($O331="Junior",$O331="Woman Junior",$O331="Youth",$O331="Woman Youth"),ISERROR(MATCH($N331,Lge_Junior!$B:$B,0))),1,0))</f>
        <v/>
      </c>
      <c r="F331" s="2" t="str">
        <f>IF($G331="","",IF(AND(LEFT($O331,3)="You",ISERROR(MATCH($N331,Lge_Youth!$B:$B,0))),1,0))</f>
        <v/>
      </c>
      <c r="G331" s="3"/>
      <c r="H331" s="3"/>
      <c r="I331" s="3"/>
      <c r="J331" s="3"/>
      <c r="K331" s="6"/>
      <c r="L331" s="4"/>
      <c r="M331" s="4"/>
      <c r="N331" s="8"/>
      <c r="O331" s="8"/>
      <c r="P331" s="9"/>
      <c r="Q331" s="8"/>
      <c r="R331" s="8"/>
      <c r="S331" s="9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10"/>
    </row>
    <row r="332" spans="1:39" x14ac:dyDescent="0.2">
      <c r="A332" s="2" t="str">
        <f>IF($G332="","",IF(ISERROR(MATCH($N332,Lge_Scratch!$B:$B,0)),1,0))</f>
        <v/>
      </c>
      <c r="B332" s="2" t="str">
        <f>IF($G332="","",IF(AND(LEFT($Q332,8)="Non-aero",ISERROR(MATCH($N332,Lge_NonAero!$B:$B,0))),1,0))</f>
        <v/>
      </c>
      <c r="C332" s="5" t="str">
        <f>IF($G332="","",IF(AND(LEFT($O332,3)="Wom",ISERROR(MATCH($N332,Lge_Women!$B:$B,0))),1,0))</f>
        <v/>
      </c>
      <c r="D332" s="2" t="str">
        <f>IF($G332="","",IF(AND(OR($O332="Vet",$O332="Woman Vet"),ISERROR(MATCH($N332,Lge_Vets!$B:$B,0))),1,0))</f>
        <v/>
      </c>
      <c r="E332" s="2" t="str">
        <f>IF($G332="","",IF(AND(OR($O332="Junior",$O332="Woman Junior",$O332="Youth",$O332="Woman Youth"),ISERROR(MATCH($N332,Lge_Junior!$B:$B,0))),1,0))</f>
        <v/>
      </c>
      <c r="F332" s="2" t="str">
        <f>IF($G332="","",IF(AND(LEFT($O332,3)="You",ISERROR(MATCH($N332,Lge_Youth!$B:$B,0))),1,0))</f>
        <v/>
      </c>
      <c r="G332" s="3"/>
      <c r="H332" s="3"/>
      <c r="I332" s="3"/>
      <c r="J332" s="3"/>
      <c r="K332" s="6"/>
      <c r="L332" s="4"/>
      <c r="M332" s="4"/>
      <c r="N332" s="8"/>
      <c r="O332" s="8"/>
      <c r="P332" s="9"/>
      <c r="Q332" s="8"/>
      <c r="R332" s="8"/>
      <c r="S332" s="9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10"/>
    </row>
    <row r="333" spans="1:39" x14ac:dyDescent="0.2">
      <c r="A333" s="2" t="str">
        <f>IF($G333="","",IF(ISERROR(MATCH($N333,Lge_Scratch!$B:$B,0)),1,0))</f>
        <v/>
      </c>
      <c r="B333" s="2" t="str">
        <f>IF($G333="","",IF(AND(LEFT($Q333,8)="Non-aero",ISERROR(MATCH($N333,Lge_NonAero!$B:$B,0))),1,0))</f>
        <v/>
      </c>
      <c r="C333" s="5" t="str">
        <f>IF($G333="","",IF(AND(LEFT($O333,3)="Wom",ISERROR(MATCH($N333,Lge_Women!$B:$B,0))),1,0))</f>
        <v/>
      </c>
      <c r="D333" s="2" t="str">
        <f>IF($G333="","",IF(AND(OR($O333="Vet",$O333="Woman Vet"),ISERROR(MATCH($N333,Lge_Vets!$B:$B,0))),1,0))</f>
        <v/>
      </c>
      <c r="E333" s="2" t="str">
        <f>IF($G333="","",IF(AND(OR($O333="Junior",$O333="Woman Junior",$O333="Youth",$O333="Woman Youth"),ISERROR(MATCH($N333,Lge_Junior!$B:$B,0))),1,0))</f>
        <v/>
      </c>
      <c r="F333" s="2" t="str">
        <f>IF($G333="","",IF(AND(LEFT($O333,3)="You",ISERROR(MATCH($N333,Lge_Youth!$B:$B,0))),1,0))</f>
        <v/>
      </c>
      <c r="G333" s="3"/>
      <c r="H333" s="3"/>
      <c r="I333" s="3"/>
      <c r="J333" s="3"/>
      <c r="K333" s="6"/>
      <c r="L333" s="4"/>
      <c r="M333" s="4"/>
      <c r="N333" s="8"/>
      <c r="O333" s="8"/>
      <c r="P333" s="9"/>
      <c r="Q333" s="8"/>
      <c r="R333" s="8"/>
      <c r="S333" s="9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10"/>
    </row>
    <row r="334" spans="1:39" x14ac:dyDescent="0.2">
      <c r="A334" s="2" t="str">
        <f>IF($G334="","",IF(ISERROR(MATCH($N334,Lge_Scratch!$B:$B,0)),1,0))</f>
        <v/>
      </c>
      <c r="B334" s="2" t="str">
        <f>IF($G334="","",IF(AND(LEFT($Q334,8)="Non-aero",ISERROR(MATCH($N334,Lge_NonAero!$B:$B,0))),1,0))</f>
        <v/>
      </c>
      <c r="C334" s="5" t="str">
        <f>IF($G334="","",IF(AND(LEFT($O334,3)="Wom",ISERROR(MATCH($N334,Lge_Women!$B:$B,0))),1,0))</f>
        <v/>
      </c>
      <c r="D334" s="2" t="str">
        <f>IF($G334="","",IF(AND(OR($O334="Vet",$O334="Woman Vet"),ISERROR(MATCH($N334,Lge_Vets!$B:$B,0))),1,0))</f>
        <v/>
      </c>
      <c r="E334" s="2" t="str">
        <f>IF($G334="","",IF(AND(OR($O334="Junior",$O334="Woman Junior",$O334="Youth",$O334="Woman Youth"),ISERROR(MATCH($N334,Lge_Junior!$B:$B,0))),1,0))</f>
        <v/>
      </c>
      <c r="F334" s="2" t="str">
        <f>IF($G334="","",IF(AND(LEFT($O334,3)="You",ISERROR(MATCH($N334,Lge_Youth!$B:$B,0))),1,0))</f>
        <v/>
      </c>
      <c r="G334" s="3"/>
      <c r="H334" s="3"/>
      <c r="I334" s="3"/>
      <c r="J334" s="3"/>
      <c r="K334" s="6"/>
      <c r="L334" s="4"/>
      <c r="M334" s="4"/>
      <c r="N334" s="8"/>
      <c r="O334" s="8"/>
      <c r="P334" s="9"/>
      <c r="Q334" s="8"/>
      <c r="R334" s="8"/>
      <c r="S334" s="9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10"/>
    </row>
    <row r="335" spans="1:39" x14ac:dyDescent="0.2">
      <c r="A335" s="2" t="str">
        <f>IF($G335="","",IF(ISERROR(MATCH($N335,Lge_Scratch!$B:$B,0)),1,0))</f>
        <v/>
      </c>
      <c r="B335" s="2" t="str">
        <f>IF($G335="","",IF(AND(LEFT($Q335,8)="Non-aero",ISERROR(MATCH($N335,Lge_NonAero!$B:$B,0))),1,0))</f>
        <v/>
      </c>
      <c r="C335" s="5" t="str">
        <f>IF($G335="","",IF(AND(LEFT($O335,3)="Wom",ISERROR(MATCH($N335,Lge_Women!$B:$B,0))),1,0))</f>
        <v/>
      </c>
      <c r="D335" s="2" t="str">
        <f>IF($G335="","",IF(AND(OR($O335="Vet",$O335="Woman Vet"),ISERROR(MATCH($N335,Lge_Vets!$B:$B,0))),1,0))</f>
        <v/>
      </c>
      <c r="E335" s="2" t="str">
        <f>IF($G335="","",IF(AND(OR($O335="Junior",$O335="Woman Junior",$O335="Youth",$O335="Woman Youth"),ISERROR(MATCH($N335,Lge_Junior!$B:$B,0))),1,0))</f>
        <v/>
      </c>
      <c r="F335" s="2" t="str">
        <f>IF($G335="","",IF(AND(LEFT($O335,3)="You",ISERROR(MATCH($N335,Lge_Youth!$B:$B,0))),1,0))</f>
        <v/>
      </c>
      <c r="G335" s="3"/>
      <c r="H335" s="3"/>
      <c r="I335" s="3"/>
      <c r="J335" s="3"/>
      <c r="K335" s="6"/>
      <c r="L335" s="4"/>
      <c r="M335" s="4"/>
      <c r="N335" s="8"/>
      <c r="O335" s="8"/>
      <c r="P335" s="9"/>
      <c r="Q335" s="8"/>
      <c r="R335" s="8"/>
      <c r="S335" s="9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10"/>
    </row>
    <row r="336" spans="1:39" x14ac:dyDescent="0.2">
      <c r="A336" s="2" t="str">
        <f>IF($G336="","",IF(ISERROR(MATCH($N336,Lge_Scratch!$B:$B,0)),1,0))</f>
        <v/>
      </c>
      <c r="B336" s="2" t="str">
        <f>IF($G336="","",IF(AND(LEFT($Q336,8)="Non-aero",ISERROR(MATCH($N336,Lge_NonAero!$B:$B,0))),1,0))</f>
        <v/>
      </c>
      <c r="C336" s="5" t="str">
        <f>IF($G336="","",IF(AND(LEFT($O336,3)="Wom",ISERROR(MATCH($N336,Lge_Women!$B:$B,0))),1,0))</f>
        <v/>
      </c>
      <c r="D336" s="2" t="str">
        <f>IF($G336="","",IF(AND(OR($O336="Vet",$O336="Woman Vet"),ISERROR(MATCH($N336,Lge_Vets!$B:$B,0))),1,0))</f>
        <v/>
      </c>
      <c r="E336" s="2" t="str">
        <f>IF($G336="","",IF(AND(OR($O336="Junior",$O336="Woman Junior",$O336="Youth",$O336="Woman Youth"),ISERROR(MATCH($N336,Lge_Junior!$B:$B,0))),1,0))</f>
        <v/>
      </c>
      <c r="F336" s="2" t="str">
        <f>IF($G336="","",IF(AND(LEFT($O336,3)="You",ISERROR(MATCH($N336,Lge_Youth!$B:$B,0))),1,0))</f>
        <v/>
      </c>
      <c r="G336" s="3"/>
      <c r="H336" s="3"/>
      <c r="I336" s="3"/>
      <c r="J336" s="3"/>
      <c r="K336" s="6"/>
      <c r="L336" s="4"/>
      <c r="M336" s="4"/>
      <c r="N336" s="8"/>
      <c r="O336" s="8"/>
      <c r="P336" s="9"/>
      <c r="Q336" s="8"/>
      <c r="R336" s="8"/>
      <c r="S336" s="9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10"/>
    </row>
    <row r="337" spans="1:39" x14ac:dyDescent="0.2">
      <c r="A337" s="2" t="str">
        <f>IF($G337="","",IF(ISERROR(MATCH($N337,Lge_Scratch!$B:$B,0)),1,0))</f>
        <v/>
      </c>
      <c r="B337" s="2" t="str">
        <f>IF($G337="","",IF(AND(LEFT($Q337,8)="Non-aero",ISERROR(MATCH($N337,Lge_NonAero!$B:$B,0))),1,0))</f>
        <v/>
      </c>
      <c r="C337" s="5" t="str">
        <f>IF($G337="","",IF(AND(LEFT($O337,3)="Wom",ISERROR(MATCH($N337,Lge_Women!$B:$B,0))),1,0))</f>
        <v/>
      </c>
      <c r="D337" s="2" t="str">
        <f>IF($G337="","",IF(AND(OR($O337="Vet",$O337="Woman Vet"),ISERROR(MATCH($N337,Lge_Vets!$B:$B,0))),1,0))</f>
        <v/>
      </c>
      <c r="E337" s="2" t="str">
        <f>IF($G337="","",IF(AND(OR($O337="Junior",$O337="Woman Junior",$O337="Youth",$O337="Woman Youth"),ISERROR(MATCH($N337,Lge_Junior!$B:$B,0))),1,0))</f>
        <v/>
      </c>
      <c r="F337" s="2" t="str">
        <f>IF($G337="","",IF(AND(LEFT($O337,3)="You",ISERROR(MATCH($N337,Lge_Youth!$B:$B,0))),1,0))</f>
        <v/>
      </c>
      <c r="G337" s="3"/>
      <c r="H337" s="3"/>
      <c r="I337" s="3"/>
      <c r="J337" s="3"/>
      <c r="K337" s="6"/>
      <c r="L337" s="4"/>
      <c r="M337" s="4"/>
      <c r="N337" s="8"/>
      <c r="O337" s="8"/>
      <c r="P337" s="9"/>
      <c r="Q337" s="8"/>
      <c r="R337" s="8"/>
      <c r="S337" s="9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10"/>
    </row>
    <row r="338" spans="1:39" x14ac:dyDescent="0.2">
      <c r="A338" s="2" t="str">
        <f>IF($G338="","",IF(ISERROR(MATCH($N338,Lge_Scratch!$B:$B,0)),1,0))</f>
        <v/>
      </c>
      <c r="B338" s="2" t="str">
        <f>IF($G338="","",IF(AND(LEFT($Q338,8)="Non-aero",ISERROR(MATCH($N338,Lge_NonAero!$B:$B,0))),1,0))</f>
        <v/>
      </c>
      <c r="C338" s="5" t="str">
        <f>IF($G338="","",IF(AND(LEFT($O338,3)="Wom",ISERROR(MATCH($N338,Lge_Women!$B:$B,0))),1,0))</f>
        <v/>
      </c>
      <c r="D338" s="2" t="str">
        <f>IF($G338="","",IF(AND(OR($O338="Vet",$O338="Woman Vet"),ISERROR(MATCH($N338,Lge_Vets!$B:$B,0))),1,0))</f>
        <v/>
      </c>
      <c r="E338" s="2" t="str">
        <f>IF($G338="","",IF(AND(OR($O338="Junior",$O338="Woman Junior",$O338="Youth",$O338="Woman Youth"),ISERROR(MATCH($N338,Lge_Junior!$B:$B,0))),1,0))</f>
        <v/>
      </c>
      <c r="F338" s="2" t="str">
        <f>IF($G338="","",IF(AND(LEFT($O338,3)="You",ISERROR(MATCH($N338,Lge_Youth!$B:$B,0))),1,0))</f>
        <v/>
      </c>
      <c r="G338" s="3"/>
      <c r="H338" s="3"/>
      <c r="I338" s="3"/>
      <c r="J338" s="3"/>
      <c r="K338" s="6"/>
      <c r="L338" s="4"/>
      <c r="M338" s="4"/>
      <c r="N338" s="8"/>
      <c r="O338" s="8"/>
      <c r="P338" s="9"/>
      <c r="Q338" s="8"/>
      <c r="R338" s="8"/>
      <c r="S338" s="9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10"/>
    </row>
    <row r="339" spans="1:39" x14ac:dyDescent="0.2">
      <c r="A339" s="2" t="str">
        <f>IF($G339="","",IF(ISERROR(MATCH($N339,Lge_Scratch!$B:$B,0)),1,0))</f>
        <v/>
      </c>
      <c r="B339" s="2" t="str">
        <f>IF($G339="","",IF(AND(LEFT($Q339,8)="Non-aero",ISERROR(MATCH($N339,Lge_NonAero!$B:$B,0))),1,0))</f>
        <v/>
      </c>
      <c r="C339" s="5" t="str">
        <f>IF($G339="","",IF(AND(LEFT($O339,3)="Wom",ISERROR(MATCH($N339,Lge_Women!$B:$B,0))),1,0))</f>
        <v/>
      </c>
      <c r="D339" s="2" t="str">
        <f>IF($G339="","",IF(AND(OR($O339="Vet",$O339="Woman Vet"),ISERROR(MATCH($N339,Lge_Vets!$B:$B,0))),1,0))</f>
        <v/>
      </c>
      <c r="E339" s="2" t="str">
        <f>IF($G339="","",IF(AND(OR($O339="Junior",$O339="Woman Junior",$O339="Youth",$O339="Woman Youth"),ISERROR(MATCH($N339,Lge_Junior!$B:$B,0))),1,0))</f>
        <v/>
      </c>
      <c r="F339" s="2" t="str">
        <f>IF($G339="","",IF(AND(LEFT($O339,3)="You",ISERROR(MATCH($N339,Lge_Youth!$B:$B,0))),1,0))</f>
        <v/>
      </c>
      <c r="G339" s="3"/>
      <c r="H339" s="3"/>
      <c r="I339" s="3"/>
      <c r="J339" s="3"/>
      <c r="K339" s="6"/>
      <c r="L339" s="4"/>
      <c r="M339" s="4"/>
      <c r="N339" s="8"/>
      <c r="O339" s="8"/>
      <c r="P339" s="9"/>
      <c r="Q339" s="8"/>
      <c r="R339" s="8"/>
      <c r="S339" s="9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10"/>
    </row>
    <row r="340" spans="1:39" x14ac:dyDescent="0.2">
      <c r="A340" s="2" t="str">
        <f>IF($G340="","",IF(ISERROR(MATCH($N340,Lge_Scratch!$B:$B,0)),1,0))</f>
        <v/>
      </c>
      <c r="B340" s="2" t="str">
        <f>IF($G340="","",IF(AND(LEFT($Q340,8)="Non-aero",ISERROR(MATCH($N340,Lge_NonAero!$B:$B,0))),1,0))</f>
        <v/>
      </c>
      <c r="C340" s="5" t="str">
        <f>IF($G340="","",IF(AND(LEFT($O340,3)="Wom",ISERROR(MATCH($N340,Lge_Women!$B:$B,0))),1,0))</f>
        <v/>
      </c>
      <c r="D340" s="2" t="str">
        <f>IF($G340="","",IF(AND(OR($O340="Vet",$O340="Woman Vet"),ISERROR(MATCH($N340,Lge_Vets!$B:$B,0))),1,0))</f>
        <v/>
      </c>
      <c r="E340" s="2" t="str">
        <f>IF($G340="","",IF(AND(OR($O340="Junior",$O340="Woman Junior",$O340="Youth",$O340="Woman Youth"),ISERROR(MATCH($N340,Lge_Junior!$B:$B,0))),1,0))</f>
        <v/>
      </c>
      <c r="F340" s="2" t="str">
        <f>IF($G340="","",IF(AND(LEFT($O340,3)="You",ISERROR(MATCH($N340,Lge_Youth!$B:$B,0))),1,0))</f>
        <v/>
      </c>
      <c r="G340" s="3"/>
      <c r="H340" s="3"/>
      <c r="I340" s="3"/>
      <c r="J340" s="3"/>
      <c r="K340" s="6"/>
      <c r="L340" s="4"/>
      <c r="M340" s="4"/>
      <c r="N340" s="8"/>
      <c r="O340" s="8"/>
      <c r="P340" s="9"/>
      <c r="Q340" s="8"/>
      <c r="R340" s="8"/>
      <c r="S340" s="9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10"/>
    </row>
    <row r="341" spans="1:39" x14ac:dyDescent="0.2">
      <c r="A341" s="2" t="str">
        <f>IF($G341="","",IF(ISERROR(MATCH($N341,Lge_Scratch!$B:$B,0)),1,0))</f>
        <v/>
      </c>
      <c r="B341" s="2" t="str">
        <f>IF($G341="","",IF(AND(LEFT($Q341,8)="Non-aero",ISERROR(MATCH($N341,Lge_NonAero!$B:$B,0))),1,0))</f>
        <v/>
      </c>
      <c r="C341" s="5" t="str">
        <f>IF($G341="","",IF(AND(LEFT($O341,3)="Wom",ISERROR(MATCH($N341,Lge_Women!$B:$B,0))),1,0))</f>
        <v/>
      </c>
      <c r="D341" s="2" t="str">
        <f>IF($G341="","",IF(AND(OR($O341="Vet",$O341="Woman Vet"),ISERROR(MATCH($N341,Lge_Vets!$B:$B,0))),1,0))</f>
        <v/>
      </c>
      <c r="E341" s="2" t="str">
        <f>IF($G341="","",IF(AND(OR($O341="Junior",$O341="Woman Junior",$O341="Youth",$O341="Woman Youth"),ISERROR(MATCH($N341,Lge_Junior!$B:$B,0))),1,0))</f>
        <v/>
      </c>
      <c r="F341" s="2" t="str">
        <f>IF($G341="","",IF(AND(LEFT($O341,3)="You",ISERROR(MATCH($N341,Lge_Youth!$B:$B,0))),1,0))</f>
        <v/>
      </c>
      <c r="G341" s="3"/>
      <c r="H341" s="3"/>
      <c r="I341" s="3"/>
      <c r="J341" s="3"/>
      <c r="K341" s="6"/>
      <c r="L341" s="4"/>
      <c r="M341" s="4"/>
      <c r="N341" s="8"/>
      <c r="O341" s="8"/>
      <c r="P341" s="9"/>
      <c r="Q341" s="8"/>
      <c r="R341" s="8"/>
      <c r="S341" s="9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10"/>
    </row>
    <row r="342" spans="1:39" x14ac:dyDescent="0.2">
      <c r="A342" s="2" t="str">
        <f>IF($G342="","",IF(ISERROR(MATCH($N342,Lge_Scratch!$B:$B,0)),1,0))</f>
        <v/>
      </c>
      <c r="B342" s="2" t="str">
        <f>IF($G342="","",IF(AND(LEFT($Q342,8)="Non-aero",ISERROR(MATCH($N342,Lge_NonAero!$B:$B,0))),1,0))</f>
        <v/>
      </c>
      <c r="C342" s="5" t="str">
        <f>IF($G342="","",IF(AND(LEFT($O342,3)="Wom",ISERROR(MATCH($N342,Lge_Women!$B:$B,0))),1,0))</f>
        <v/>
      </c>
      <c r="D342" s="2" t="str">
        <f>IF($G342="","",IF(AND(OR($O342="Vet",$O342="Woman Vet"),ISERROR(MATCH($N342,Lge_Vets!$B:$B,0))),1,0))</f>
        <v/>
      </c>
      <c r="E342" s="2" t="str">
        <f>IF($G342="","",IF(AND(OR($O342="Junior",$O342="Woman Junior",$O342="Youth",$O342="Woman Youth"),ISERROR(MATCH($N342,Lge_Junior!$B:$B,0))),1,0))</f>
        <v/>
      </c>
      <c r="F342" s="2" t="str">
        <f>IF($G342="","",IF(AND(LEFT($O342,3)="You",ISERROR(MATCH($N342,Lge_Youth!$B:$B,0))),1,0))</f>
        <v/>
      </c>
      <c r="G342" s="3"/>
      <c r="H342" s="3"/>
      <c r="I342" s="3"/>
      <c r="J342" s="3"/>
      <c r="K342" s="6"/>
      <c r="L342" s="4"/>
      <c r="M342" s="4"/>
      <c r="N342" s="8"/>
      <c r="O342" s="8"/>
      <c r="P342" s="9"/>
      <c r="Q342" s="8"/>
      <c r="R342" s="8"/>
      <c r="S342" s="9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10"/>
    </row>
    <row r="343" spans="1:39" x14ac:dyDescent="0.2">
      <c r="A343" s="2" t="str">
        <f>IF($G343="","",IF(ISERROR(MATCH($N343,Lge_Scratch!$B:$B,0)),1,0))</f>
        <v/>
      </c>
      <c r="B343" s="2" t="str">
        <f>IF($G343="","",IF(AND(LEFT($Q343,8)="Non-aero",ISERROR(MATCH($N343,Lge_NonAero!$B:$B,0))),1,0))</f>
        <v/>
      </c>
      <c r="C343" s="5" t="str">
        <f>IF($G343="","",IF(AND(LEFT($O343,3)="Wom",ISERROR(MATCH($N343,Lge_Women!$B:$B,0))),1,0))</f>
        <v/>
      </c>
      <c r="D343" s="2" t="str">
        <f>IF($G343="","",IF(AND(OR($O343="Vet",$O343="Woman Vet"),ISERROR(MATCH($N343,Lge_Vets!$B:$B,0))),1,0))</f>
        <v/>
      </c>
      <c r="E343" s="2" t="str">
        <f>IF($G343="","",IF(AND(OR($O343="Junior",$O343="Woman Junior",$O343="Youth",$O343="Woman Youth"),ISERROR(MATCH($N343,Lge_Junior!$B:$B,0))),1,0))</f>
        <v/>
      </c>
      <c r="F343" s="2" t="str">
        <f>IF($G343="","",IF(AND(LEFT($O343,3)="You",ISERROR(MATCH($N343,Lge_Youth!$B:$B,0))),1,0))</f>
        <v/>
      </c>
      <c r="G343" s="3"/>
      <c r="H343" s="3"/>
      <c r="I343" s="3"/>
      <c r="J343" s="3"/>
      <c r="K343" s="6"/>
      <c r="L343" s="4"/>
      <c r="M343" s="4"/>
      <c r="N343" s="8"/>
      <c r="O343" s="8"/>
      <c r="P343" s="9"/>
      <c r="Q343" s="8"/>
      <c r="R343" s="8"/>
      <c r="S343" s="9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10"/>
    </row>
    <row r="344" spans="1:39" x14ac:dyDescent="0.2">
      <c r="A344" s="2" t="str">
        <f>IF($G344="","",IF(ISERROR(MATCH($N344,Lge_Scratch!$B:$B,0)),1,0))</f>
        <v/>
      </c>
      <c r="B344" s="2" t="str">
        <f>IF($G344="","",IF(AND(LEFT($Q344,8)="Non-aero",ISERROR(MATCH($N344,Lge_NonAero!$B:$B,0))),1,0))</f>
        <v/>
      </c>
      <c r="C344" s="5" t="str">
        <f>IF($G344="","",IF(AND(LEFT($O344,3)="Wom",ISERROR(MATCH($N344,Lge_Women!$B:$B,0))),1,0))</f>
        <v/>
      </c>
      <c r="D344" s="2" t="str">
        <f>IF($G344="","",IF(AND(OR($O344="Vet",$O344="Woman Vet"),ISERROR(MATCH($N344,Lge_Vets!$B:$B,0))),1,0))</f>
        <v/>
      </c>
      <c r="E344" s="2" t="str">
        <f>IF($G344="","",IF(AND(OR($O344="Junior",$O344="Woman Junior",$O344="Youth",$O344="Woman Youth"),ISERROR(MATCH($N344,Lge_Junior!$B:$B,0))),1,0))</f>
        <v/>
      </c>
      <c r="F344" s="2" t="str">
        <f>IF($G344="","",IF(AND(LEFT($O344,3)="You",ISERROR(MATCH($N344,Lge_Youth!$B:$B,0))),1,0))</f>
        <v/>
      </c>
      <c r="G344" s="3"/>
      <c r="H344" s="3"/>
      <c r="I344" s="3"/>
      <c r="J344" s="3"/>
      <c r="K344" s="6"/>
      <c r="L344" s="4"/>
      <c r="M344" s="4"/>
      <c r="N344" s="8"/>
      <c r="O344" s="8"/>
      <c r="P344" s="9"/>
      <c r="Q344" s="8"/>
      <c r="R344" s="8"/>
      <c r="S344" s="9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10"/>
    </row>
    <row r="345" spans="1:39" x14ac:dyDescent="0.2">
      <c r="A345" s="2" t="str">
        <f>IF($G345="","",IF(ISERROR(MATCH($N345,Lge_Scratch!$B:$B,0)),1,0))</f>
        <v/>
      </c>
      <c r="B345" s="2" t="str">
        <f>IF($G345="","",IF(AND(LEFT($Q345,8)="Non-aero",ISERROR(MATCH($N345,Lge_NonAero!$B:$B,0))),1,0))</f>
        <v/>
      </c>
      <c r="C345" s="5" t="str">
        <f>IF($G345="","",IF(AND(LEFT($O345,3)="Wom",ISERROR(MATCH($N345,Lge_Women!$B:$B,0))),1,0))</f>
        <v/>
      </c>
      <c r="D345" s="2" t="str">
        <f>IF($G345="","",IF(AND(OR($O345="Vet",$O345="Woman Vet"),ISERROR(MATCH($N345,Lge_Vets!$B:$B,0))),1,0))</f>
        <v/>
      </c>
      <c r="E345" s="2" t="str">
        <f>IF($G345="","",IF(AND(OR($O345="Junior",$O345="Woman Junior",$O345="Youth",$O345="Woman Youth"),ISERROR(MATCH($N345,Lge_Junior!$B:$B,0))),1,0))</f>
        <v/>
      </c>
      <c r="F345" s="2" t="str">
        <f>IF($G345="","",IF(AND(LEFT($O345,3)="You",ISERROR(MATCH($N345,Lge_Youth!$B:$B,0))),1,0))</f>
        <v/>
      </c>
      <c r="G345" s="3"/>
      <c r="H345" s="3"/>
      <c r="I345" s="3"/>
      <c r="J345" s="3"/>
      <c r="K345" s="6"/>
      <c r="L345" s="4"/>
      <c r="M345" s="4"/>
      <c r="N345" s="8"/>
      <c r="O345" s="8"/>
      <c r="P345" s="9"/>
      <c r="Q345" s="8"/>
      <c r="R345" s="8"/>
      <c r="S345" s="9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10"/>
    </row>
    <row r="346" spans="1:39" x14ac:dyDescent="0.2">
      <c r="A346" s="2" t="str">
        <f>IF($G346="","",IF(ISERROR(MATCH($N346,Lge_Scratch!$B:$B,0)),1,0))</f>
        <v/>
      </c>
      <c r="B346" s="2" t="str">
        <f>IF($G346="","",IF(AND(LEFT($Q346,8)="Non-aero",ISERROR(MATCH($N346,Lge_NonAero!$B:$B,0))),1,0))</f>
        <v/>
      </c>
      <c r="C346" s="5" t="str">
        <f>IF($G346="","",IF(AND(LEFT($O346,3)="Wom",ISERROR(MATCH($N346,Lge_Women!$B:$B,0))),1,0))</f>
        <v/>
      </c>
      <c r="D346" s="2" t="str">
        <f>IF($G346="","",IF(AND(OR($O346="Vet",$O346="Woman Vet"),ISERROR(MATCH($N346,Lge_Vets!$B:$B,0))),1,0))</f>
        <v/>
      </c>
      <c r="E346" s="2" t="str">
        <f>IF($G346="","",IF(AND(OR($O346="Junior",$O346="Woman Junior",$O346="Youth",$O346="Woman Youth"),ISERROR(MATCH($N346,Lge_Junior!$B:$B,0))),1,0))</f>
        <v/>
      </c>
      <c r="F346" s="2" t="str">
        <f>IF($G346="","",IF(AND(LEFT($O346,3)="You",ISERROR(MATCH($N346,Lge_Youth!$B:$B,0))),1,0))</f>
        <v/>
      </c>
      <c r="G346" s="3"/>
      <c r="H346" s="3"/>
      <c r="I346" s="3"/>
      <c r="J346" s="3"/>
      <c r="K346" s="6"/>
      <c r="L346" s="4"/>
      <c r="M346" s="4"/>
      <c r="N346" s="8"/>
      <c r="O346" s="8"/>
      <c r="P346" s="9"/>
      <c r="Q346" s="8"/>
      <c r="R346" s="8"/>
      <c r="S346" s="9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10"/>
    </row>
    <row r="347" spans="1:39" x14ac:dyDescent="0.2">
      <c r="A347" s="2" t="str">
        <f>IF($G347="","",IF(ISERROR(MATCH($N347,Lge_Scratch!$B:$B,0)),1,0))</f>
        <v/>
      </c>
      <c r="B347" s="2" t="str">
        <f>IF($G347="","",IF(AND(LEFT($Q347,8)="Non-aero",ISERROR(MATCH($N347,Lge_NonAero!$B:$B,0))),1,0))</f>
        <v/>
      </c>
      <c r="C347" s="5" t="str">
        <f>IF($G347="","",IF(AND(LEFT($O347,3)="Wom",ISERROR(MATCH($N347,Lge_Women!$B:$B,0))),1,0))</f>
        <v/>
      </c>
      <c r="D347" s="2" t="str">
        <f>IF($G347="","",IF(AND(OR($O347="Vet",$O347="Woman Vet"),ISERROR(MATCH($N347,Lge_Vets!$B:$B,0))),1,0))</f>
        <v/>
      </c>
      <c r="E347" s="2" t="str">
        <f>IF($G347="","",IF(AND(OR($O347="Junior",$O347="Woman Junior",$O347="Youth",$O347="Woman Youth"),ISERROR(MATCH($N347,Lge_Junior!$B:$B,0))),1,0))</f>
        <v/>
      </c>
      <c r="F347" s="2" t="str">
        <f>IF($G347="","",IF(AND(LEFT($O347,3)="You",ISERROR(MATCH($N347,Lge_Youth!$B:$B,0))),1,0))</f>
        <v/>
      </c>
      <c r="G347" s="3"/>
      <c r="H347" s="3"/>
      <c r="I347" s="3"/>
      <c r="J347" s="3"/>
      <c r="K347" s="6"/>
      <c r="L347" s="4"/>
      <c r="M347" s="4"/>
      <c r="N347" s="8"/>
      <c r="O347" s="8"/>
      <c r="P347" s="9"/>
      <c r="Q347" s="8"/>
      <c r="R347" s="8"/>
      <c r="S347" s="9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10"/>
    </row>
    <row r="348" spans="1:39" x14ac:dyDescent="0.2">
      <c r="A348" s="2" t="str">
        <f>IF($G348="","",IF(ISERROR(MATCH($N348,Lge_Scratch!$B:$B,0)),1,0))</f>
        <v/>
      </c>
      <c r="B348" s="2" t="str">
        <f>IF($G348="","",IF(AND(LEFT($Q348,8)="Non-aero",ISERROR(MATCH($N348,Lge_NonAero!$B:$B,0))),1,0))</f>
        <v/>
      </c>
      <c r="C348" s="5" t="str">
        <f>IF($G348="","",IF(AND(LEFT($O348,3)="Wom",ISERROR(MATCH($N348,Lge_Women!$B:$B,0))),1,0))</f>
        <v/>
      </c>
      <c r="D348" s="2" t="str">
        <f>IF($G348="","",IF(AND(OR($O348="Vet",$O348="Woman Vet"),ISERROR(MATCH($N348,Lge_Vets!$B:$B,0))),1,0))</f>
        <v/>
      </c>
      <c r="E348" s="2" t="str">
        <f>IF($G348="","",IF(AND(OR($O348="Junior",$O348="Woman Junior",$O348="Youth",$O348="Woman Youth"),ISERROR(MATCH($N348,Lge_Junior!$B:$B,0))),1,0))</f>
        <v/>
      </c>
      <c r="F348" s="2" t="str">
        <f>IF($G348="","",IF(AND(LEFT($O348,3)="You",ISERROR(MATCH($N348,Lge_Youth!$B:$B,0))),1,0))</f>
        <v/>
      </c>
      <c r="G348" s="3"/>
      <c r="H348" s="3"/>
      <c r="I348" s="3"/>
      <c r="J348" s="3"/>
      <c r="K348" s="6"/>
      <c r="L348" s="4"/>
      <c r="M348" s="4"/>
      <c r="N348" s="8"/>
      <c r="O348" s="8"/>
      <c r="P348" s="9"/>
      <c r="Q348" s="8"/>
      <c r="R348" s="8"/>
      <c r="S348" s="9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10"/>
    </row>
    <row r="349" spans="1:39" x14ac:dyDescent="0.2">
      <c r="A349" s="2" t="str">
        <f>IF($G349="","",IF(ISERROR(MATCH($N349,Lge_Scratch!$B:$B,0)),1,0))</f>
        <v/>
      </c>
      <c r="B349" s="2" t="str">
        <f>IF($G349="","",IF(AND(LEFT($Q349,8)="Non-aero",ISERROR(MATCH($N349,Lge_NonAero!$B:$B,0))),1,0))</f>
        <v/>
      </c>
      <c r="C349" s="5" t="str">
        <f>IF($G349="","",IF(AND(LEFT($O349,3)="Wom",ISERROR(MATCH($N349,Lge_Women!$B:$B,0))),1,0))</f>
        <v/>
      </c>
      <c r="D349" s="2" t="str">
        <f>IF($G349="","",IF(AND(OR($O349="Vet",$O349="Woman Vet"),ISERROR(MATCH($N349,Lge_Vets!$B:$B,0))),1,0))</f>
        <v/>
      </c>
      <c r="E349" s="2" t="str">
        <f>IF($G349="","",IF(AND(OR($O349="Junior",$O349="Woman Junior",$O349="Youth",$O349="Woman Youth"),ISERROR(MATCH($N349,Lge_Junior!$B:$B,0))),1,0))</f>
        <v/>
      </c>
      <c r="F349" s="2" t="str">
        <f>IF($G349="","",IF(AND(LEFT($O349,3)="You",ISERROR(MATCH($N349,Lge_Youth!$B:$B,0))),1,0))</f>
        <v/>
      </c>
      <c r="G349" s="3"/>
      <c r="H349" s="3"/>
      <c r="I349" s="3"/>
      <c r="J349" s="3"/>
      <c r="K349" s="6"/>
      <c r="L349" s="4"/>
      <c r="M349" s="4"/>
      <c r="N349" s="8"/>
      <c r="O349" s="8"/>
      <c r="P349" s="9"/>
      <c r="Q349" s="8"/>
      <c r="R349" s="8"/>
      <c r="S349" s="9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10"/>
    </row>
    <row r="350" spans="1:39" x14ac:dyDescent="0.2">
      <c r="A350" s="2" t="str">
        <f>IF($G350="","",IF(ISERROR(MATCH($N350,Lge_Scratch!$B:$B,0)),1,0))</f>
        <v/>
      </c>
      <c r="B350" s="2" t="str">
        <f>IF($G350="","",IF(AND(LEFT($Q350,8)="Non-aero",ISERROR(MATCH($N350,Lge_NonAero!$B:$B,0))),1,0))</f>
        <v/>
      </c>
      <c r="C350" s="5" t="str">
        <f>IF($G350="","",IF(AND(LEFT($O350,3)="Wom",ISERROR(MATCH($N350,Lge_Women!$B:$B,0))),1,0))</f>
        <v/>
      </c>
      <c r="D350" s="2" t="str">
        <f>IF($G350="","",IF(AND(OR($O350="Vet",$O350="Woman Vet"),ISERROR(MATCH($N350,Lge_Vets!$B:$B,0))),1,0))</f>
        <v/>
      </c>
      <c r="E350" s="2" t="str">
        <f>IF($G350="","",IF(AND(OR($O350="Junior",$O350="Woman Junior",$O350="Youth",$O350="Woman Youth"),ISERROR(MATCH($N350,Lge_Junior!$B:$B,0))),1,0))</f>
        <v/>
      </c>
      <c r="F350" s="2" t="str">
        <f>IF($G350="","",IF(AND(LEFT($O350,3)="You",ISERROR(MATCH($N350,Lge_Youth!$B:$B,0))),1,0))</f>
        <v/>
      </c>
      <c r="G350" s="3"/>
      <c r="H350" s="3"/>
      <c r="I350" s="3"/>
      <c r="J350" s="3"/>
      <c r="K350" s="6"/>
      <c r="L350" s="4"/>
      <c r="M350" s="4"/>
      <c r="N350" s="8"/>
      <c r="O350" s="8"/>
      <c r="P350" s="9"/>
      <c r="Q350" s="8"/>
      <c r="R350" s="8"/>
      <c r="S350" s="9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10"/>
    </row>
    <row r="351" spans="1:39" x14ac:dyDescent="0.2">
      <c r="A351" s="2" t="str">
        <f>IF($G351="","",IF(ISERROR(MATCH($N351,Lge_Scratch!$B:$B,0)),1,0))</f>
        <v/>
      </c>
      <c r="B351" s="2" t="str">
        <f>IF($G351="","",IF(AND(LEFT($Q351,8)="Non-aero",ISERROR(MATCH($N351,Lge_NonAero!$B:$B,0))),1,0))</f>
        <v/>
      </c>
      <c r="C351" s="5" t="str">
        <f>IF($G351="","",IF(AND(LEFT($O351,3)="Wom",ISERROR(MATCH($N351,Lge_Women!$B:$B,0))),1,0))</f>
        <v/>
      </c>
      <c r="D351" s="2" t="str">
        <f>IF($G351="","",IF(AND(OR($O351="Vet",$O351="Woman Vet"),ISERROR(MATCH($N351,Lge_Vets!$B:$B,0))),1,0))</f>
        <v/>
      </c>
      <c r="E351" s="2" t="str">
        <f>IF($G351="","",IF(AND(OR($O351="Junior",$O351="Woman Junior",$O351="Youth",$O351="Woman Youth"),ISERROR(MATCH($N351,Lge_Junior!$B:$B,0))),1,0))</f>
        <v/>
      </c>
      <c r="F351" s="2" t="str">
        <f>IF($G351="","",IF(AND(LEFT($O351,3)="You",ISERROR(MATCH($N351,Lge_Youth!$B:$B,0))),1,0))</f>
        <v/>
      </c>
      <c r="G351" s="3"/>
      <c r="H351" s="3"/>
      <c r="I351" s="3"/>
      <c r="J351" s="3"/>
      <c r="K351" s="6"/>
      <c r="L351" s="4"/>
      <c r="M351" s="4"/>
      <c r="N351" s="8"/>
      <c r="O351" s="8"/>
      <c r="P351" s="9"/>
      <c r="Q351" s="8"/>
      <c r="R351" s="8"/>
      <c r="S351" s="9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10"/>
    </row>
    <row r="352" spans="1:39" x14ac:dyDescent="0.2">
      <c r="A352" s="2" t="str">
        <f>IF($G352="","",IF(ISERROR(MATCH($N352,Lge_Scratch!$B:$B,0)),1,0))</f>
        <v/>
      </c>
      <c r="B352" s="2" t="str">
        <f>IF($G352="","",IF(AND(LEFT($Q352,8)="Non-aero",ISERROR(MATCH($N352,Lge_NonAero!$B:$B,0))),1,0))</f>
        <v/>
      </c>
      <c r="C352" s="5" t="str">
        <f>IF($G352="","",IF(AND(LEFT($O352,3)="Wom",ISERROR(MATCH($N352,Lge_Women!$B:$B,0))),1,0))</f>
        <v/>
      </c>
      <c r="D352" s="2" t="str">
        <f>IF($G352="","",IF(AND(OR($O352="Vet",$O352="Woman Vet"),ISERROR(MATCH($N352,Lge_Vets!$B:$B,0))),1,0))</f>
        <v/>
      </c>
      <c r="E352" s="2" t="str">
        <f>IF($G352="","",IF(AND(OR($O352="Junior",$O352="Woman Junior",$O352="Youth",$O352="Woman Youth"),ISERROR(MATCH($N352,Lge_Junior!$B:$B,0))),1,0))</f>
        <v/>
      </c>
      <c r="F352" s="2" t="str">
        <f>IF($G352="","",IF(AND(LEFT($O352,3)="You",ISERROR(MATCH($N352,Lge_Youth!$B:$B,0))),1,0))</f>
        <v/>
      </c>
      <c r="G352" s="3"/>
      <c r="H352" s="3"/>
      <c r="I352" s="3"/>
      <c r="J352" s="3"/>
      <c r="K352" s="6"/>
      <c r="L352" s="4"/>
      <c r="M352" s="4"/>
      <c r="N352" s="8"/>
      <c r="O352" s="8"/>
      <c r="P352" s="9"/>
      <c r="Q352" s="8"/>
      <c r="R352" s="8"/>
      <c r="S352" s="9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10"/>
    </row>
    <row r="353" spans="1:39" x14ac:dyDescent="0.2">
      <c r="A353" s="2" t="str">
        <f>IF($G353="","",IF(ISERROR(MATCH($N353,Lge_Scratch!$B:$B,0)),1,0))</f>
        <v/>
      </c>
      <c r="B353" s="2" t="str">
        <f>IF($G353="","",IF(AND(LEFT($Q353,8)="Non-aero",ISERROR(MATCH($N353,Lge_NonAero!$B:$B,0))),1,0))</f>
        <v/>
      </c>
      <c r="C353" s="5" t="str">
        <f>IF($G353="","",IF(AND(LEFT($O353,3)="Wom",ISERROR(MATCH($N353,Lge_Women!$B:$B,0))),1,0))</f>
        <v/>
      </c>
      <c r="D353" s="2" t="str">
        <f>IF($G353="","",IF(AND(OR($O353="Vet",$O353="Woman Vet"),ISERROR(MATCH($N353,Lge_Vets!$B:$B,0))),1,0))</f>
        <v/>
      </c>
      <c r="E353" s="2" t="str">
        <f>IF($G353="","",IF(AND(OR($O353="Junior",$O353="Woman Junior",$O353="Youth",$O353="Woman Youth"),ISERROR(MATCH($N353,Lge_Junior!$B:$B,0))),1,0))</f>
        <v/>
      </c>
      <c r="F353" s="2" t="str">
        <f>IF($G353="","",IF(AND(LEFT($O353,3)="You",ISERROR(MATCH($N353,Lge_Youth!$B:$B,0))),1,0))</f>
        <v/>
      </c>
      <c r="G353" s="3"/>
      <c r="H353" s="3"/>
      <c r="I353" s="3"/>
      <c r="J353" s="3"/>
      <c r="K353" s="6"/>
      <c r="L353" s="4"/>
      <c r="M353" s="4"/>
      <c r="N353" s="8"/>
      <c r="O353" s="8"/>
      <c r="P353" s="9"/>
      <c r="Q353" s="8"/>
      <c r="R353" s="8"/>
      <c r="S353" s="9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10"/>
    </row>
    <row r="354" spans="1:39" x14ac:dyDescent="0.2">
      <c r="A354" s="2" t="str">
        <f>IF($G354="","",IF(ISERROR(MATCH($N354,Lge_Scratch!$B:$B,0)),1,0))</f>
        <v/>
      </c>
      <c r="B354" s="2" t="str">
        <f>IF($G354="","",IF(AND(LEFT($Q354,8)="Non-aero",ISERROR(MATCH($N354,Lge_NonAero!$B:$B,0))),1,0))</f>
        <v/>
      </c>
      <c r="C354" s="5" t="str">
        <f>IF($G354="","",IF(AND(LEFT($O354,3)="Wom",ISERROR(MATCH($N354,Lge_Women!$B:$B,0))),1,0))</f>
        <v/>
      </c>
      <c r="D354" s="2" t="str">
        <f>IF($G354="","",IF(AND(OR($O354="Vet",$O354="Woman Vet"),ISERROR(MATCH($N354,Lge_Vets!$B:$B,0))),1,0))</f>
        <v/>
      </c>
      <c r="E354" s="2" t="str">
        <f>IF($G354="","",IF(AND(OR($O354="Junior",$O354="Woman Junior",$O354="Youth",$O354="Woman Youth"),ISERROR(MATCH($N354,Lge_Junior!$B:$B,0))),1,0))</f>
        <v/>
      </c>
      <c r="F354" s="2" t="str">
        <f>IF($G354="","",IF(AND(LEFT($O354,3)="You",ISERROR(MATCH($N354,Lge_Youth!$B:$B,0))),1,0))</f>
        <v/>
      </c>
      <c r="G354" s="3"/>
      <c r="H354" s="3"/>
      <c r="I354" s="3"/>
      <c r="J354" s="3"/>
      <c r="K354" s="6"/>
      <c r="L354" s="4"/>
      <c r="M354" s="4"/>
      <c r="N354" s="8"/>
      <c r="O354" s="8"/>
      <c r="P354" s="9"/>
      <c r="Q354" s="8"/>
      <c r="R354" s="8"/>
      <c r="S354" s="9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10"/>
    </row>
    <row r="355" spans="1:39" x14ac:dyDescent="0.2">
      <c r="A355" s="2" t="str">
        <f>IF($G355="","",IF(ISERROR(MATCH($N355,Lge_Scratch!$B:$B,0)),1,0))</f>
        <v/>
      </c>
      <c r="B355" s="2" t="str">
        <f>IF($G355="","",IF(AND(LEFT($Q355,8)="Non-aero",ISERROR(MATCH($N355,Lge_NonAero!$B:$B,0))),1,0))</f>
        <v/>
      </c>
      <c r="C355" s="5" t="str">
        <f>IF($G355="","",IF(AND(LEFT($O355,3)="Wom",ISERROR(MATCH($N355,Lge_Women!$B:$B,0))),1,0))</f>
        <v/>
      </c>
      <c r="D355" s="2" t="str">
        <f>IF($G355="","",IF(AND(OR($O355="Vet",$O355="Woman Vet"),ISERROR(MATCH($N355,Lge_Vets!$B:$B,0))),1,0))</f>
        <v/>
      </c>
      <c r="E355" s="2" t="str">
        <f>IF($G355="","",IF(AND(OR($O355="Junior",$O355="Woman Junior",$O355="Youth",$O355="Woman Youth"),ISERROR(MATCH($N355,Lge_Junior!$B:$B,0))),1,0))</f>
        <v/>
      </c>
      <c r="F355" s="2" t="str">
        <f>IF($G355="","",IF(AND(LEFT($O355,3)="You",ISERROR(MATCH($N355,Lge_Youth!$B:$B,0))),1,0))</f>
        <v/>
      </c>
      <c r="G355" s="3"/>
      <c r="H355" s="3"/>
      <c r="I355" s="3"/>
      <c r="J355" s="3"/>
      <c r="K355" s="6"/>
      <c r="L355" s="4"/>
      <c r="M355" s="4"/>
      <c r="N355" s="8"/>
      <c r="O355" s="8"/>
      <c r="P355" s="9"/>
      <c r="Q355" s="8"/>
      <c r="R355" s="8"/>
      <c r="S355" s="9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10"/>
    </row>
    <row r="356" spans="1:39" x14ac:dyDescent="0.2">
      <c r="A356" s="2" t="str">
        <f>IF($G356="","",IF(ISERROR(MATCH($N356,Lge_Scratch!$B:$B,0)),1,0))</f>
        <v/>
      </c>
      <c r="B356" s="2" t="str">
        <f>IF($G356="","",IF(AND(LEFT($Q356,8)="Non-aero",ISERROR(MATCH($N356,Lge_NonAero!$B:$B,0))),1,0))</f>
        <v/>
      </c>
      <c r="C356" s="5" t="str">
        <f>IF($G356="","",IF(AND(LEFT($O356,3)="Wom",ISERROR(MATCH($N356,Lge_Women!$B:$B,0))),1,0))</f>
        <v/>
      </c>
      <c r="D356" s="2" t="str">
        <f>IF($G356="","",IF(AND(OR($O356="Vet",$O356="Woman Vet"),ISERROR(MATCH($N356,Lge_Vets!$B:$B,0))),1,0))</f>
        <v/>
      </c>
      <c r="E356" s="2" t="str">
        <f>IF($G356="","",IF(AND(OR($O356="Junior",$O356="Woman Junior",$O356="Youth",$O356="Woman Youth"),ISERROR(MATCH($N356,Lge_Junior!$B:$B,0))),1,0))</f>
        <v/>
      </c>
      <c r="F356" s="2" t="str">
        <f>IF($G356="","",IF(AND(LEFT($O356,3)="You",ISERROR(MATCH($N356,Lge_Youth!$B:$B,0))),1,0))</f>
        <v/>
      </c>
      <c r="G356" s="3"/>
      <c r="H356" s="3"/>
      <c r="I356" s="3"/>
      <c r="J356" s="3"/>
      <c r="K356" s="6"/>
      <c r="L356" s="4"/>
      <c r="M356" s="4"/>
      <c r="N356" s="8"/>
      <c r="O356" s="8"/>
      <c r="P356" s="9"/>
      <c r="Q356" s="8"/>
      <c r="R356" s="8"/>
      <c r="S356" s="9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10"/>
    </row>
    <row r="357" spans="1:39" x14ac:dyDescent="0.2">
      <c r="A357" s="2" t="str">
        <f>IF($G357="","",IF(ISERROR(MATCH($N357,Lge_Scratch!$B:$B,0)),1,0))</f>
        <v/>
      </c>
      <c r="B357" s="2" t="str">
        <f>IF($G357="","",IF(AND(LEFT($Q357,8)="Non-aero",ISERROR(MATCH($N357,Lge_NonAero!$B:$B,0))),1,0))</f>
        <v/>
      </c>
      <c r="C357" s="5" t="str">
        <f>IF($G357="","",IF(AND(LEFT($O357,3)="Wom",ISERROR(MATCH($N357,Lge_Women!$B:$B,0))),1,0))</f>
        <v/>
      </c>
      <c r="D357" s="2" t="str">
        <f>IF($G357="","",IF(AND(OR($O357="Vet",$O357="Woman Vet"),ISERROR(MATCH($N357,Lge_Vets!$B:$B,0))),1,0))</f>
        <v/>
      </c>
      <c r="E357" s="2" t="str">
        <f>IF($G357="","",IF(AND(OR($O357="Junior",$O357="Woman Junior",$O357="Youth",$O357="Woman Youth"),ISERROR(MATCH($N357,Lge_Junior!$B:$B,0))),1,0))</f>
        <v/>
      </c>
      <c r="F357" s="2" t="str">
        <f>IF($G357="","",IF(AND(LEFT($O357,3)="You",ISERROR(MATCH($N357,Lge_Youth!$B:$B,0))),1,0))</f>
        <v/>
      </c>
      <c r="G357" s="3"/>
      <c r="H357" s="3"/>
      <c r="I357" s="3"/>
      <c r="J357" s="3"/>
      <c r="K357" s="6"/>
      <c r="L357" s="4"/>
      <c r="M357" s="4"/>
      <c r="N357" s="8"/>
      <c r="O357" s="8"/>
      <c r="P357" s="9"/>
      <c r="Q357" s="8"/>
      <c r="R357" s="8"/>
      <c r="S357" s="9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10"/>
    </row>
    <row r="358" spans="1:39" x14ac:dyDescent="0.2">
      <c r="A358" s="2" t="str">
        <f>IF($G358="","",IF(ISERROR(MATCH($N358,Lge_Scratch!$B:$B,0)),1,0))</f>
        <v/>
      </c>
      <c r="B358" s="2" t="str">
        <f>IF($G358="","",IF(AND(LEFT($Q358,8)="Non-aero",ISERROR(MATCH($N358,Lge_NonAero!$B:$B,0))),1,0))</f>
        <v/>
      </c>
      <c r="C358" s="5" t="str">
        <f>IF($G358="","",IF(AND(LEFT($O358,3)="Wom",ISERROR(MATCH($N358,Lge_Women!$B:$B,0))),1,0))</f>
        <v/>
      </c>
      <c r="D358" s="2" t="str">
        <f>IF($G358="","",IF(AND(OR($O358="Vet",$O358="Woman Vet"),ISERROR(MATCH($N358,Lge_Vets!$B:$B,0))),1,0))</f>
        <v/>
      </c>
      <c r="E358" s="2" t="str">
        <f>IF($G358="","",IF(AND(OR($O358="Junior",$O358="Woman Junior",$O358="Youth",$O358="Woman Youth"),ISERROR(MATCH($N358,Lge_Junior!$B:$B,0))),1,0))</f>
        <v/>
      </c>
      <c r="F358" s="2" t="str">
        <f>IF($G358="","",IF(AND(LEFT($O358,3)="You",ISERROR(MATCH($N358,Lge_Youth!$B:$B,0))),1,0))</f>
        <v/>
      </c>
      <c r="G358" s="3"/>
      <c r="H358" s="3"/>
      <c r="I358" s="3"/>
      <c r="J358" s="3"/>
      <c r="K358" s="6"/>
      <c r="L358" s="4"/>
      <c r="M358" s="4"/>
      <c r="N358" s="8"/>
      <c r="O358" s="8"/>
      <c r="P358" s="9"/>
      <c r="Q358" s="8"/>
      <c r="R358" s="8"/>
      <c r="S358" s="9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10"/>
    </row>
    <row r="359" spans="1:39" x14ac:dyDescent="0.2">
      <c r="A359" s="2" t="str">
        <f>IF($G359="","",IF(ISERROR(MATCH($N359,Lge_Scratch!$B:$B,0)),1,0))</f>
        <v/>
      </c>
      <c r="B359" s="2" t="str">
        <f>IF($G359="","",IF(AND(LEFT($Q359,8)="Non-aero",ISERROR(MATCH($N359,Lge_NonAero!$B:$B,0))),1,0))</f>
        <v/>
      </c>
      <c r="C359" s="5" t="str">
        <f>IF($G359="","",IF(AND(LEFT($O359,3)="Wom",ISERROR(MATCH($N359,Lge_Women!$B:$B,0))),1,0))</f>
        <v/>
      </c>
      <c r="D359" s="2" t="str">
        <f>IF($G359="","",IF(AND(OR($O359="Vet",$O359="Woman Vet"),ISERROR(MATCH($N359,Lge_Vets!$B:$B,0))),1,0))</f>
        <v/>
      </c>
      <c r="E359" s="2" t="str">
        <f>IF($G359="","",IF(AND(OR($O359="Junior",$O359="Woman Junior",$O359="Youth",$O359="Woman Youth"),ISERROR(MATCH($N359,Lge_Junior!$B:$B,0))),1,0))</f>
        <v/>
      </c>
      <c r="F359" s="2" t="str">
        <f>IF($G359="","",IF(AND(LEFT($O359,3)="You",ISERROR(MATCH($N359,Lge_Youth!$B:$B,0))),1,0))</f>
        <v/>
      </c>
      <c r="G359" s="3"/>
      <c r="H359" s="3"/>
      <c r="I359" s="3"/>
      <c r="J359" s="3"/>
      <c r="K359" s="6"/>
      <c r="L359" s="4"/>
      <c r="M359" s="4"/>
      <c r="N359" s="8"/>
      <c r="O359" s="8"/>
      <c r="P359" s="9"/>
      <c r="Q359" s="8"/>
      <c r="R359" s="8"/>
      <c r="S359" s="9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10"/>
    </row>
    <row r="360" spans="1:39" x14ac:dyDescent="0.2">
      <c r="A360" s="2" t="str">
        <f>IF($G360="","",IF(ISERROR(MATCH($N360,Lge_Scratch!$B:$B,0)),1,0))</f>
        <v/>
      </c>
      <c r="B360" s="2" t="str">
        <f>IF($G360="","",IF(AND(LEFT($Q360,8)="Non-aero",ISERROR(MATCH($N360,Lge_NonAero!$B:$B,0))),1,0))</f>
        <v/>
      </c>
      <c r="C360" s="5" t="str">
        <f>IF($G360="","",IF(AND(LEFT($O360,3)="Wom",ISERROR(MATCH($N360,Lge_Women!$B:$B,0))),1,0))</f>
        <v/>
      </c>
      <c r="D360" s="2" t="str">
        <f>IF($G360="","",IF(AND(OR($O360="Vet",$O360="Woman Vet"),ISERROR(MATCH($N360,Lge_Vets!$B:$B,0))),1,0))</f>
        <v/>
      </c>
      <c r="E360" s="2" t="str">
        <f>IF($G360="","",IF(AND(OR($O360="Junior",$O360="Woman Junior",$O360="Youth",$O360="Woman Youth"),ISERROR(MATCH($N360,Lge_Junior!$B:$B,0))),1,0))</f>
        <v/>
      </c>
      <c r="F360" s="2" t="str">
        <f>IF($G360="","",IF(AND(LEFT($O360,3)="You",ISERROR(MATCH($N360,Lge_Youth!$B:$B,0))),1,0))</f>
        <v/>
      </c>
      <c r="G360" s="3"/>
      <c r="H360" s="3"/>
      <c r="I360" s="3"/>
      <c r="J360" s="3"/>
      <c r="K360" s="6"/>
      <c r="L360" s="4"/>
      <c r="M360" s="4"/>
      <c r="N360" s="8"/>
      <c r="O360" s="8"/>
      <c r="P360" s="9"/>
      <c r="Q360" s="8"/>
      <c r="R360" s="8"/>
      <c r="S360" s="9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10"/>
    </row>
    <row r="361" spans="1:39" x14ac:dyDescent="0.2">
      <c r="A361" s="2" t="str">
        <f>IF($G361="","",IF(ISERROR(MATCH($N361,Lge_Scratch!$B:$B,0)),1,0))</f>
        <v/>
      </c>
      <c r="B361" s="2" t="str">
        <f>IF($G361="","",IF(AND(LEFT($Q361,8)="Non-aero",ISERROR(MATCH($N361,Lge_NonAero!$B:$B,0))),1,0))</f>
        <v/>
      </c>
      <c r="C361" s="5" t="str">
        <f>IF($G361="","",IF(AND(LEFT($O361,3)="Wom",ISERROR(MATCH($N361,Lge_Women!$B:$B,0))),1,0))</f>
        <v/>
      </c>
      <c r="D361" s="2" t="str">
        <f>IF($G361="","",IF(AND(OR($O361="Vet",$O361="Woman Vet"),ISERROR(MATCH($N361,Lge_Vets!$B:$B,0))),1,0))</f>
        <v/>
      </c>
      <c r="E361" s="2" t="str">
        <f>IF($G361="","",IF(AND(OR($O361="Junior",$O361="Woman Junior",$O361="Youth",$O361="Woman Youth"),ISERROR(MATCH($N361,Lge_Junior!$B:$B,0))),1,0))</f>
        <v/>
      </c>
      <c r="F361" s="2" t="str">
        <f>IF($G361="","",IF(AND(LEFT($O361,3)="You",ISERROR(MATCH($N361,Lge_Youth!$B:$B,0))),1,0))</f>
        <v/>
      </c>
      <c r="G361" s="3"/>
      <c r="H361" s="3"/>
      <c r="I361" s="3"/>
      <c r="J361" s="3"/>
      <c r="K361" s="6"/>
      <c r="L361" s="4"/>
      <c r="M361" s="4"/>
      <c r="N361" s="8"/>
      <c r="O361" s="8"/>
      <c r="P361" s="9"/>
      <c r="Q361" s="8"/>
      <c r="R361" s="8"/>
      <c r="S361" s="9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10"/>
    </row>
    <row r="362" spans="1:39" x14ac:dyDescent="0.2">
      <c r="A362" s="2" t="str">
        <f>IF($G362="","",IF(ISERROR(MATCH($N362,Lge_Scratch!$B:$B,0)),1,0))</f>
        <v/>
      </c>
      <c r="B362" s="2" t="str">
        <f>IF($G362="","",IF(AND(LEFT($Q362,8)="Non-aero",ISERROR(MATCH($N362,Lge_NonAero!$B:$B,0))),1,0))</f>
        <v/>
      </c>
      <c r="C362" s="5" t="str">
        <f>IF($G362="","",IF(AND(LEFT($O362,3)="Wom",ISERROR(MATCH($N362,Lge_Women!$B:$B,0))),1,0))</f>
        <v/>
      </c>
      <c r="D362" s="2" t="str">
        <f>IF($G362="","",IF(AND(OR($O362="Vet",$O362="Woman Vet"),ISERROR(MATCH($N362,Lge_Vets!$B:$B,0))),1,0))</f>
        <v/>
      </c>
      <c r="E362" s="2" t="str">
        <f>IF($G362="","",IF(AND(OR($O362="Junior",$O362="Woman Junior",$O362="Youth",$O362="Woman Youth"),ISERROR(MATCH($N362,Lge_Junior!$B:$B,0))),1,0))</f>
        <v/>
      </c>
      <c r="F362" s="2" t="str">
        <f>IF($G362="","",IF(AND(LEFT($O362,3)="You",ISERROR(MATCH($N362,Lge_Youth!$B:$B,0))),1,0))</f>
        <v/>
      </c>
      <c r="G362" s="3"/>
      <c r="H362" s="3"/>
      <c r="I362" s="3"/>
      <c r="J362" s="3"/>
      <c r="K362" s="6"/>
      <c r="L362" s="4"/>
      <c r="M362" s="4"/>
      <c r="N362" s="8"/>
      <c r="O362" s="8"/>
      <c r="P362" s="9"/>
      <c r="Q362" s="8"/>
      <c r="R362" s="8"/>
      <c r="S362" s="9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10"/>
    </row>
    <row r="363" spans="1:39" x14ac:dyDescent="0.2">
      <c r="A363" s="2" t="str">
        <f>IF($G363="","",IF(ISERROR(MATCH($N363,Lge_Scratch!$B:$B,0)),1,0))</f>
        <v/>
      </c>
      <c r="B363" s="2" t="str">
        <f>IF($G363="","",IF(AND(LEFT($Q363,8)="Non-aero",ISERROR(MATCH($N363,Lge_NonAero!$B:$B,0))),1,0))</f>
        <v/>
      </c>
      <c r="C363" s="5" t="str">
        <f>IF($G363="","",IF(AND(LEFT($O363,3)="Wom",ISERROR(MATCH($N363,Lge_Women!$B:$B,0))),1,0))</f>
        <v/>
      </c>
      <c r="D363" s="2" t="str">
        <f>IF($G363="","",IF(AND(OR($O363="Vet",$O363="Woman Vet"),ISERROR(MATCH($N363,Lge_Vets!$B:$B,0))),1,0))</f>
        <v/>
      </c>
      <c r="E363" s="2" t="str">
        <f>IF($G363="","",IF(AND(OR($O363="Junior",$O363="Woman Junior",$O363="Youth",$O363="Woman Youth"),ISERROR(MATCH($N363,Lge_Junior!$B:$B,0))),1,0))</f>
        <v/>
      </c>
      <c r="F363" s="2" t="str">
        <f>IF($G363="","",IF(AND(LEFT($O363,3)="You",ISERROR(MATCH($N363,Lge_Youth!$B:$B,0))),1,0))</f>
        <v/>
      </c>
      <c r="G363" s="3"/>
      <c r="H363" s="3"/>
      <c r="I363" s="3"/>
      <c r="J363" s="3"/>
      <c r="K363" s="6"/>
      <c r="L363" s="4"/>
      <c r="M363" s="4"/>
      <c r="N363" s="8"/>
      <c r="O363" s="8"/>
      <c r="P363" s="9"/>
      <c r="Q363" s="8"/>
      <c r="R363" s="8"/>
      <c r="S363" s="9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10"/>
    </row>
    <row r="364" spans="1:39" x14ac:dyDescent="0.2">
      <c r="A364" s="2" t="str">
        <f>IF($G364="","",IF(ISERROR(MATCH($N364,Lge_Scratch!$B:$B,0)),1,0))</f>
        <v/>
      </c>
      <c r="B364" s="2" t="str">
        <f>IF($G364="","",IF(AND(LEFT($Q364,8)="Non-aero",ISERROR(MATCH($N364,Lge_NonAero!$B:$B,0))),1,0))</f>
        <v/>
      </c>
      <c r="C364" s="5" t="str">
        <f>IF($G364="","",IF(AND(LEFT($O364,3)="Wom",ISERROR(MATCH($N364,Lge_Women!$B:$B,0))),1,0))</f>
        <v/>
      </c>
      <c r="D364" s="2" t="str">
        <f>IF($G364="","",IF(AND(OR($O364="Vet",$O364="Woman Vet"),ISERROR(MATCH($N364,Lge_Vets!$B:$B,0))),1,0))</f>
        <v/>
      </c>
      <c r="E364" s="2" t="str">
        <f>IF($G364="","",IF(AND(OR($O364="Junior",$O364="Woman Junior",$O364="Youth",$O364="Woman Youth"),ISERROR(MATCH($N364,Lge_Junior!$B:$B,0))),1,0))</f>
        <v/>
      </c>
      <c r="F364" s="2" t="str">
        <f>IF($G364="","",IF(AND(LEFT($O364,3)="You",ISERROR(MATCH($N364,Lge_Youth!$B:$B,0))),1,0))</f>
        <v/>
      </c>
      <c r="G364" s="3"/>
      <c r="H364" s="3"/>
      <c r="I364" s="3"/>
      <c r="J364" s="3"/>
      <c r="K364" s="6"/>
      <c r="L364" s="4"/>
      <c r="M364" s="4"/>
      <c r="N364" s="8"/>
      <c r="O364" s="8"/>
      <c r="P364" s="9"/>
      <c r="Q364" s="8"/>
      <c r="R364" s="8"/>
      <c r="S364" s="9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10"/>
    </row>
    <row r="365" spans="1:39" x14ac:dyDescent="0.2">
      <c r="A365" s="2" t="str">
        <f>IF($G365="","",IF(ISERROR(MATCH($N365,Lge_Scratch!$B:$B,0)),1,0))</f>
        <v/>
      </c>
      <c r="B365" s="2" t="str">
        <f>IF($G365="","",IF(AND(LEFT($Q365,8)="Non-aero",ISERROR(MATCH($N365,Lge_NonAero!$B:$B,0))),1,0))</f>
        <v/>
      </c>
      <c r="C365" s="5" t="str">
        <f>IF($G365="","",IF(AND(LEFT($O365,3)="Wom",ISERROR(MATCH($N365,Lge_Women!$B:$B,0))),1,0))</f>
        <v/>
      </c>
      <c r="D365" s="2" t="str">
        <f>IF($G365="","",IF(AND(OR($O365="Vet",$O365="Woman Vet"),ISERROR(MATCH($N365,Lge_Vets!$B:$B,0))),1,0))</f>
        <v/>
      </c>
      <c r="E365" s="2" t="str">
        <f>IF($G365="","",IF(AND(OR($O365="Junior",$O365="Woman Junior",$O365="Youth",$O365="Woman Youth"),ISERROR(MATCH($N365,Lge_Junior!$B:$B,0))),1,0))</f>
        <v/>
      </c>
      <c r="F365" s="2" t="str">
        <f>IF($G365="","",IF(AND(LEFT($O365,3)="You",ISERROR(MATCH($N365,Lge_Youth!$B:$B,0))),1,0))</f>
        <v/>
      </c>
      <c r="G365" s="3"/>
      <c r="H365" s="3"/>
      <c r="I365" s="3"/>
      <c r="J365" s="3"/>
      <c r="K365" s="6"/>
      <c r="L365" s="4"/>
      <c r="M365" s="4"/>
      <c r="N365" s="8"/>
      <c r="O365" s="8"/>
      <c r="P365" s="9"/>
      <c r="Q365" s="8"/>
      <c r="R365" s="8"/>
      <c r="S365" s="9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10"/>
    </row>
    <row r="366" spans="1:39" x14ac:dyDescent="0.2">
      <c r="A366" s="2" t="str">
        <f>IF($G366="","",IF(ISERROR(MATCH($N366,Lge_Scratch!$B:$B,0)),1,0))</f>
        <v/>
      </c>
      <c r="B366" s="2" t="str">
        <f>IF($G366="","",IF(AND(LEFT($Q366,8)="Non-aero",ISERROR(MATCH($N366,Lge_NonAero!$B:$B,0))),1,0))</f>
        <v/>
      </c>
      <c r="C366" s="5" t="str">
        <f>IF($G366="","",IF(AND(LEFT($O366,3)="Wom",ISERROR(MATCH($N366,Lge_Women!$B:$B,0))),1,0))</f>
        <v/>
      </c>
      <c r="D366" s="2" t="str">
        <f>IF($G366="","",IF(AND(OR($O366="Vet",$O366="Woman Vet"),ISERROR(MATCH($N366,Lge_Vets!$B:$B,0))),1,0))</f>
        <v/>
      </c>
      <c r="E366" s="2" t="str">
        <f>IF($G366="","",IF(AND(OR($O366="Junior",$O366="Woman Junior",$O366="Youth",$O366="Woman Youth"),ISERROR(MATCH($N366,Lge_Junior!$B:$B,0))),1,0))</f>
        <v/>
      </c>
      <c r="F366" s="2" t="str">
        <f>IF($G366="","",IF(AND(LEFT($O366,3)="You",ISERROR(MATCH($N366,Lge_Youth!$B:$B,0))),1,0))</f>
        <v/>
      </c>
      <c r="G366" s="3"/>
      <c r="H366" s="3"/>
      <c r="I366" s="3"/>
      <c r="J366" s="3"/>
      <c r="K366" s="6"/>
      <c r="L366" s="4"/>
      <c r="M366" s="4"/>
      <c r="N366" s="8"/>
      <c r="O366" s="8"/>
      <c r="P366" s="9"/>
      <c r="Q366" s="8"/>
      <c r="R366" s="8"/>
      <c r="S366" s="9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10"/>
    </row>
    <row r="367" spans="1:39" x14ac:dyDescent="0.2">
      <c r="A367" s="2" t="str">
        <f>IF($G367="","",IF(ISERROR(MATCH($N367,Lge_Scratch!$B:$B,0)),1,0))</f>
        <v/>
      </c>
      <c r="B367" s="2" t="str">
        <f>IF($G367="","",IF(AND(LEFT($Q367,8)="Non-aero",ISERROR(MATCH($N367,Lge_NonAero!$B:$B,0))),1,0))</f>
        <v/>
      </c>
      <c r="C367" s="5" t="str">
        <f>IF($G367="","",IF(AND(LEFT($O367,3)="Wom",ISERROR(MATCH($N367,Lge_Women!$B:$B,0))),1,0))</f>
        <v/>
      </c>
      <c r="D367" s="2" t="str">
        <f>IF($G367="","",IF(AND(OR($O367="Vet",$O367="Woman Vet"),ISERROR(MATCH($N367,Lge_Vets!$B:$B,0))),1,0))</f>
        <v/>
      </c>
      <c r="E367" s="2" t="str">
        <f>IF($G367="","",IF(AND(OR($O367="Junior",$O367="Woman Junior",$O367="Youth",$O367="Woman Youth"),ISERROR(MATCH($N367,Lge_Junior!$B:$B,0))),1,0))</f>
        <v/>
      </c>
      <c r="F367" s="2" t="str">
        <f>IF($G367="","",IF(AND(LEFT($O367,3)="You",ISERROR(MATCH($N367,Lge_Youth!$B:$B,0))),1,0))</f>
        <v/>
      </c>
      <c r="G367" s="3"/>
      <c r="H367" s="3"/>
      <c r="I367" s="3"/>
      <c r="J367" s="3"/>
      <c r="K367" s="6"/>
      <c r="L367" s="4"/>
      <c r="M367" s="4"/>
      <c r="N367" s="8"/>
      <c r="O367" s="8"/>
      <c r="P367" s="9"/>
      <c r="Q367" s="8"/>
      <c r="R367" s="8"/>
      <c r="S367" s="9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10"/>
    </row>
    <row r="368" spans="1:39" x14ac:dyDescent="0.2">
      <c r="A368" s="2" t="str">
        <f>IF($G368="","",IF(ISERROR(MATCH($N368,Lge_Scratch!$B:$B,0)),1,0))</f>
        <v/>
      </c>
      <c r="B368" s="2" t="str">
        <f>IF($G368="","",IF(AND(LEFT($Q368,8)="Non-aero",ISERROR(MATCH($N368,Lge_NonAero!$B:$B,0))),1,0))</f>
        <v/>
      </c>
      <c r="C368" s="5" t="str">
        <f>IF($G368="","",IF(AND(LEFT($O368,3)="Wom",ISERROR(MATCH($N368,Lge_Women!$B:$B,0))),1,0))</f>
        <v/>
      </c>
      <c r="D368" s="2" t="str">
        <f>IF($G368="","",IF(AND(OR($O368="Vet",$O368="Woman Vet"),ISERROR(MATCH($N368,Lge_Vets!$B:$B,0))),1,0))</f>
        <v/>
      </c>
      <c r="E368" s="2" t="str">
        <f>IF($G368="","",IF(AND(OR($O368="Junior",$O368="Woman Junior",$O368="Youth",$O368="Woman Youth"),ISERROR(MATCH($N368,Lge_Junior!$B:$B,0))),1,0))</f>
        <v/>
      </c>
      <c r="F368" s="2" t="str">
        <f>IF($G368="","",IF(AND(LEFT($O368,3)="You",ISERROR(MATCH($N368,Lge_Youth!$B:$B,0))),1,0))</f>
        <v/>
      </c>
      <c r="G368" s="3"/>
      <c r="H368" s="3"/>
      <c r="I368" s="3"/>
      <c r="J368" s="3"/>
      <c r="K368" s="6"/>
      <c r="L368" s="4"/>
      <c r="M368" s="4"/>
      <c r="N368" s="8"/>
      <c r="O368" s="8"/>
      <c r="P368" s="9"/>
      <c r="Q368" s="8"/>
      <c r="R368" s="8"/>
      <c r="S368" s="9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10"/>
    </row>
    <row r="369" spans="1:39" x14ac:dyDescent="0.2">
      <c r="A369" s="2" t="str">
        <f>IF($G369="","",IF(ISERROR(MATCH($N369,Lge_Scratch!$B:$B,0)),1,0))</f>
        <v/>
      </c>
      <c r="B369" s="2" t="str">
        <f>IF($G369="","",IF(AND(LEFT($Q369,8)="Non-aero",ISERROR(MATCH($N369,Lge_NonAero!$B:$B,0))),1,0))</f>
        <v/>
      </c>
      <c r="C369" s="5" t="str">
        <f>IF($G369="","",IF(AND(LEFT($O369,3)="Wom",ISERROR(MATCH($N369,Lge_Women!$B:$B,0))),1,0))</f>
        <v/>
      </c>
      <c r="D369" s="2" t="str">
        <f>IF($G369="","",IF(AND(OR($O369="Vet",$O369="Woman Vet"),ISERROR(MATCH($N369,Lge_Vets!$B:$B,0))),1,0))</f>
        <v/>
      </c>
      <c r="E369" s="2" t="str">
        <f>IF($G369="","",IF(AND(OR($O369="Junior",$O369="Woman Junior",$O369="Youth",$O369="Woman Youth"),ISERROR(MATCH($N369,Lge_Junior!$B:$B,0))),1,0))</f>
        <v/>
      </c>
      <c r="F369" s="2" t="str">
        <f>IF($G369="","",IF(AND(LEFT($O369,3)="You",ISERROR(MATCH($N369,Lge_Youth!$B:$B,0))),1,0))</f>
        <v/>
      </c>
      <c r="G369" s="3"/>
      <c r="H369" s="3"/>
      <c r="I369" s="3"/>
      <c r="J369" s="3"/>
      <c r="K369" s="6"/>
      <c r="L369" s="4"/>
      <c r="M369" s="4"/>
      <c r="N369" s="8"/>
      <c r="O369" s="8"/>
      <c r="P369" s="9"/>
      <c r="Q369" s="8"/>
      <c r="R369" s="8"/>
      <c r="S369" s="9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10"/>
    </row>
    <row r="370" spans="1:39" x14ac:dyDescent="0.2">
      <c r="A370" s="2" t="str">
        <f>IF($G370="","",IF(ISERROR(MATCH($N370,Lge_Scratch!$B:$B,0)),1,0))</f>
        <v/>
      </c>
      <c r="B370" s="2" t="str">
        <f>IF($G370="","",IF(AND(LEFT($Q370,8)="Non-aero",ISERROR(MATCH($N370,Lge_NonAero!$B:$B,0))),1,0))</f>
        <v/>
      </c>
      <c r="C370" s="5" t="str">
        <f>IF($G370="","",IF(AND(LEFT($O370,3)="Wom",ISERROR(MATCH($N370,Lge_Women!$B:$B,0))),1,0))</f>
        <v/>
      </c>
      <c r="D370" s="2" t="str">
        <f>IF($G370="","",IF(AND(OR($O370="Vet",$O370="Woman Vet"),ISERROR(MATCH($N370,Lge_Vets!$B:$B,0))),1,0))</f>
        <v/>
      </c>
      <c r="E370" s="2" t="str">
        <f>IF($G370="","",IF(AND(OR($O370="Junior",$O370="Woman Junior",$O370="Youth",$O370="Woman Youth"),ISERROR(MATCH($N370,Lge_Junior!$B:$B,0))),1,0))</f>
        <v/>
      </c>
      <c r="F370" s="2" t="str">
        <f>IF($G370="","",IF(AND(LEFT($O370,3)="You",ISERROR(MATCH($N370,Lge_Youth!$B:$B,0))),1,0))</f>
        <v/>
      </c>
      <c r="G370" s="3"/>
      <c r="H370" s="3"/>
      <c r="I370" s="3"/>
      <c r="J370" s="3"/>
      <c r="K370" s="6"/>
      <c r="L370" s="4"/>
      <c r="M370" s="4"/>
      <c r="N370" s="8"/>
      <c r="O370" s="8"/>
      <c r="P370" s="9"/>
      <c r="Q370" s="8"/>
      <c r="R370" s="8"/>
      <c r="S370" s="9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10"/>
    </row>
    <row r="371" spans="1:39" x14ac:dyDescent="0.2">
      <c r="A371" s="2" t="str">
        <f>IF($G371="","",IF(ISERROR(MATCH($N371,Lge_Scratch!$B:$B,0)),1,0))</f>
        <v/>
      </c>
      <c r="B371" s="2" t="str">
        <f>IF($G371="","",IF(AND(LEFT($Q371,8)="Non-aero",ISERROR(MATCH($N371,Lge_NonAero!$B:$B,0))),1,0))</f>
        <v/>
      </c>
      <c r="C371" s="5" t="str">
        <f>IF($G371="","",IF(AND(LEFT($O371,3)="Wom",ISERROR(MATCH($N371,Lge_Women!$B:$B,0))),1,0))</f>
        <v/>
      </c>
      <c r="D371" s="2" t="str">
        <f>IF($G371="","",IF(AND(OR($O371="Vet",$O371="Woman Vet"),ISERROR(MATCH($N371,Lge_Vets!$B:$B,0))),1,0))</f>
        <v/>
      </c>
      <c r="E371" s="2" t="str">
        <f>IF($G371="","",IF(AND(OR($O371="Junior",$O371="Woman Junior",$O371="Youth",$O371="Woman Youth"),ISERROR(MATCH($N371,Lge_Junior!$B:$B,0))),1,0))</f>
        <v/>
      </c>
      <c r="F371" s="2" t="str">
        <f>IF($G371="","",IF(AND(LEFT($O371,3)="You",ISERROR(MATCH($N371,Lge_Youth!$B:$B,0))),1,0))</f>
        <v/>
      </c>
      <c r="G371" s="3"/>
      <c r="H371" s="3"/>
      <c r="I371" s="3"/>
      <c r="J371" s="3"/>
      <c r="K371" s="6"/>
      <c r="L371" s="4"/>
      <c r="M371" s="4"/>
      <c r="N371" s="8"/>
      <c r="O371" s="8"/>
      <c r="P371" s="9"/>
      <c r="Q371" s="8"/>
      <c r="R371" s="8"/>
      <c r="S371" s="9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10"/>
    </row>
    <row r="372" spans="1:39" x14ac:dyDescent="0.2">
      <c r="A372" s="2" t="str">
        <f>IF($G372="","",IF(ISERROR(MATCH($N372,Lge_Scratch!$B:$B,0)),1,0))</f>
        <v/>
      </c>
      <c r="B372" s="2" t="str">
        <f>IF($G372="","",IF(AND(LEFT($Q372,8)="Non-aero",ISERROR(MATCH($N372,Lge_NonAero!$B:$B,0))),1,0))</f>
        <v/>
      </c>
      <c r="C372" s="5" t="str">
        <f>IF($G372="","",IF(AND(LEFT($O372,3)="Wom",ISERROR(MATCH($N372,Lge_Women!$B:$B,0))),1,0))</f>
        <v/>
      </c>
      <c r="D372" s="2" t="str">
        <f>IF($G372="","",IF(AND(OR($O372="Vet",$O372="Woman Vet"),ISERROR(MATCH($N372,Lge_Vets!$B:$B,0))),1,0))</f>
        <v/>
      </c>
      <c r="E372" s="2" t="str">
        <f>IF($G372="","",IF(AND(OR($O372="Junior",$O372="Woman Junior",$O372="Youth",$O372="Woman Youth"),ISERROR(MATCH($N372,Lge_Junior!$B:$B,0))),1,0))</f>
        <v/>
      </c>
      <c r="F372" s="2" t="str">
        <f>IF($G372="","",IF(AND(LEFT($O372,3)="You",ISERROR(MATCH($N372,Lge_Youth!$B:$B,0))),1,0))</f>
        <v/>
      </c>
      <c r="G372" s="3"/>
      <c r="H372" s="3"/>
      <c r="I372" s="3"/>
      <c r="J372" s="3"/>
      <c r="K372" s="6"/>
      <c r="L372" s="4"/>
      <c r="M372" s="4"/>
      <c r="N372" s="8"/>
      <c r="O372" s="8"/>
      <c r="P372" s="9"/>
      <c r="Q372" s="8"/>
      <c r="R372" s="8"/>
      <c r="S372" s="9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10"/>
    </row>
    <row r="373" spans="1:39" x14ac:dyDescent="0.2">
      <c r="A373" s="2" t="str">
        <f>IF($G373="","",IF(ISERROR(MATCH($N373,Lge_Scratch!$B:$B,0)),1,0))</f>
        <v/>
      </c>
      <c r="B373" s="2" t="str">
        <f>IF($G373="","",IF(AND(LEFT($Q373,8)="Non-aero",ISERROR(MATCH($N373,Lge_NonAero!$B:$B,0))),1,0))</f>
        <v/>
      </c>
      <c r="C373" s="5" t="str">
        <f>IF($G373="","",IF(AND(LEFT($O373,3)="Wom",ISERROR(MATCH($N373,Lge_Women!$B:$B,0))),1,0))</f>
        <v/>
      </c>
      <c r="D373" s="2" t="str">
        <f>IF($G373="","",IF(AND(OR($O373="Vet",$O373="Woman Vet"),ISERROR(MATCH($N373,Lge_Vets!$B:$B,0))),1,0))</f>
        <v/>
      </c>
      <c r="E373" s="2" t="str">
        <f>IF($G373="","",IF(AND(OR($O373="Junior",$O373="Woman Junior",$O373="Youth",$O373="Woman Youth"),ISERROR(MATCH($N373,Lge_Junior!$B:$B,0))),1,0))</f>
        <v/>
      </c>
      <c r="F373" s="2" t="str">
        <f>IF($G373="","",IF(AND(LEFT($O373,3)="You",ISERROR(MATCH($N373,Lge_Youth!$B:$B,0))),1,0))</f>
        <v/>
      </c>
      <c r="G373" s="3"/>
      <c r="H373" s="3"/>
      <c r="I373" s="3"/>
      <c r="J373" s="3"/>
      <c r="K373" s="6"/>
      <c r="L373" s="4"/>
      <c r="M373" s="4"/>
      <c r="N373" s="8"/>
      <c r="O373" s="8"/>
      <c r="P373" s="9"/>
      <c r="Q373" s="8"/>
      <c r="R373" s="8"/>
      <c r="S373" s="9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10"/>
    </row>
    <row r="374" spans="1:39" x14ac:dyDescent="0.2">
      <c r="A374" s="2" t="str">
        <f>IF($G374="","",IF(ISERROR(MATCH($N374,Lge_Scratch!$B:$B,0)),1,0))</f>
        <v/>
      </c>
      <c r="B374" s="2" t="str">
        <f>IF($G374="","",IF(AND(LEFT($Q374,8)="Non-aero",ISERROR(MATCH($N374,Lge_NonAero!$B:$B,0))),1,0))</f>
        <v/>
      </c>
      <c r="C374" s="5" t="str">
        <f>IF($G374="","",IF(AND(LEFT($O374,3)="Wom",ISERROR(MATCH($N374,Lge_Women!$B:$B,0))),1,0))</f>
        <v/>
      </c>
      <c r="D374" s="2" t="str">
        <f>IF($G374="","",IF(AND(OR($O374="Vet",$O374="Woman Vet"),ISERROR(MATCH($N374,Lge_Vets!$B:$B,0))),1,0))</f>
        <v/>
      </c>
      <c r="E374" s="2" t="str">
        <f>IF($G374="","",IF(AND(OR($O374="Junior",$O374="Woman Junior",$O374="Youth",$O374="Woman Youth"),ISERROR(MATCH($N374,Lge_Junior!$B:$B,0))),1,0))</f>
        <v/>
      </c>
      <c r="F374" s="2" t="str">
        <f>IF($G374="","",IF(AND(LEFT($O374,3)="You",ISERROR(MATCH($N374,Lge_Youth!$B:$B,0))),1,0))</f>
        <v/>
      </c>
      <c r="G374" s="3"/>
      <c r="H374" s="3"/>
      <c r="I374" s="3"/>
      <c r="J374" s="3"/>
      <c r="K374" s="6"/>
      <c r="L374" s="4"/>
      <c r="M374" s="4"/>
      <c r="N374" s="8"/>
      <c r="O374" s="8"/>
      <c r="P374" s="9"/>
      <c r="Q374" s="8"/>
      <c r="R374" s="8"/>
      <c r="S374" s="9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10"/>
    </row>
    <row r="375" spans="1:39" x14ac:dyDescent="0.2">
      <c r="A375" s="2" t="str">
        <f>IF($G375="","",IF(ISERROR(MATCH($N375,Lge_Scratch!$B:$B,0)),1,0))</f>
        <v/>
      </c>
      <c r="B375" s="2" t="str">
        <f>IF($G375="","",IF(AND(LEFT($Q375,8)="Non-aero",ISERROR(MATCH($N375,Lge_NonAero!$B:$B,0))),1,0))</f>
        <v/>
      </c>
      <c r="C375" s="5" t="str">
        <f>IF($G375="","",IF(AND(LEFT($O375,3)="Wom",ISERROR(MATCH($N375,Lge_Women!$B:$B,0))),1,0))</f>
        <v/>
      </c>
      <c r="D375" s="2" t="str">
        <f>IF($G375="","",IF(AND(OR($O375="Vet",$O375="Woman Vet"),ISERROR(MATCH($N375,Lge_Vets!$B:$B,0))),1,0))</f>
        <v/>
      </c>
      <c r="E375" s="2" t="str">
        <f>IF($G375="","",IF(AND(OR($O375="Junior",$O375="Woman Junior",$O375="Youth",$O375="Woman Youth"),ISERROR(MATCH($N375,Lge_Junior!$B:$B,0))),1,0))</f>
        <v/>
      </c>
      <c r="F375" s="2" t="str">
        <f>IF($G375="","",IF(AND(LEFT($O375,3)="You",ISERROR(MATCH($N375,Lge_Youth!$B:$B,0))),1,0))</f>
        <v/>
      </c>
      <c r="G375" s="3"/>
      <c r="H375" s="3"/>
      <c r="I375" s="3"/>
      <c r="J375" s="3"/>
      <c r="K375" s="6"/>
      <c r="L375" s="4"/>
      <c r="M375" s="4"/>
      <c r="N375" s="8"/>
      <c r="O375" s="8"/>
      <c r="P375" s="9"/>
      <c r="Q375" s="8"/>
      <c r="R375" s="8"/>
      <c r="S375" s="9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10"/>
    </row>
    <row r="376" spans="1:39" x14ac:dyDescent="0.2">
      <c r="A376" s="2" t="str">
        <f>IF($G376="","",IF(ISERROR(MATCH($N376,Lge_Scratch!$B:$B,0)),1,0))</f>
        <v/>
      </c>
      <c r="B376" s="2" t="str">
        <f>IF($G376="","",IF(AND(LEFT($Q376,8)="Non-aero",ISERROR(MATCH($N376,Lge_NonAero!$B:$B,0))),1,0))</f>
        <v/>
      </c>
      <c r="C376" s="5" t="str">
        <f>IF($G376="","",IF(AND(LEFT($O376,3)="Wom",ISERROR(MATCH($N376,Lge_Women!$B:$B,0))),1,0))</f>
        <v/>
      </c>
      <c r="D376" s="2" t="str">
        <f>IF($G376="","",IF(AND(OR($O376="Vet",$O376="Woman Vet"),ISERROR(MATCH($N376,Lge_Vets!$B:$B,0))),1,0))</f>
        <v/>
      </c>
      <c r="E376" s="2" t="str">
        <f>IF($G376="","",IF(AND(OR($O376="Junior",$O376="Woman Junior",$O376="Youth",$O376="Woman Youth"),ISERROR(MATCH($N376,Lge_Junior!$B:$B,0))),1,0))</f>
        <v/>
      </c>
      <c r="F376" s="2" t="str">
        <f>IF($G376="","",IF(AND(LEFT($O376,3)="You",ISERROR(MATCH($N376,Lge_Youth!$B:$B,0))),1,0))</f>
        <v/>
      </c>
      <c r="G376" s="3"/>
      <c r="H376" s="3"/>
      <c r="I376" s="3"/>
      <c r="J376" s="3"/>
      <c r="K376" s="6"/>
      <c r="L376" s="4"/>
      <c r="M376" s="4"/>
      <c r="N376" s="8"/>
      <c r="O376" s="8"/>
      <c r="P376" s="9"/>
      <c r="Q376" s="8"/>
      <c r="R376" s="8"/>
      <c r="S376" s="9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10"/>
    </row>
    <row r="377" spans="1:39" x14ac:dyDescent="0.2">
      <c r="A377" s="2" t="str">
        <f>IF($G377="","",IF(ISERROR(MATCH($N377,Lge_Scratch!$B:$B,0)),1,0))</f>
        <v/>
      </c>
      <c r="B377" s="2" t="str">
        <f>IF($G377="","",IF(AND(LEFT($Q377,8)="Non-aero",ISERROR(MATCH($N377,Lge_NonAero!$B:$B,0))),1,0))</f>
        <v/>
      </c>
      <c r="C377" s="5" t="str">
        <f>IF($G377="","",IF(AND(LEFT($O377,3)="Wom",ISERROR(MATCH($N377,Lge_Women!$B:$B,0))),1,0))</f>
        <v/>
      </c>
      <c r="D377" s="2" t="str">
        <f>IF($G377="","",IF(AND(OR($O377="Vet",$O377="Woman Vet"),ISERROR(MATCH($N377,Lge_Vets!$B:$B,0))),1,0))</f>
        <v/>
      </c>
      <c r="E377" s="2" t="str">
        <f>IF($G377="","",IF(AND(OR($O377="Junior",$O377="Woman Junior",$O377="Youth",$O377="Woman Youth"),ISERROR(MATCH($N377,Lge_Junior!$B:$B,0))),1,0))</f>
        <v/>
      </c>
      <c r="F377" s="2" t="str">
        <f>IF($G377="","",IF(AND(LEFT($O377,3)="You",ISERROR(MATCH($N377,Lge_Youth!$B:$B,0))),1,0))</f>
        <v/>
      </c>
      <c r="G377" s="3"/>
      <c r="H377" s="3"/>
      <c r="I377" s="3"/>
      <c r="J377" s="3"/>
      <c r="K377" s="6"/>
      <c r="L377" s="4"/>
      <c r="M377" s="4"/>
      <c r="N377" s="8"/>
      <c r="O377" s="8"/>
      <c r="P377" s="9"/>
      <c r="Q377" s="8"/>
      <c r="R377" s="8"/>
      <c r="S377" s="9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10"/>
    </row>
    <row r="378" spans="1:39" x14ac:dyDescent="0.2">
      <c r="A378" s="2" t="str">
        <f>IF($G378="","",IF(ISERROR(MATCH($N378,Lge_Scratch!$B:$B,0)),1,0))</f>
        <v/>
      </c>
      <c r="B378" s="2" t="str">
        <f>IF($G378="","",IF(AND(LEFT($Q378,8)="Non-aero",ISERROR(MATCH($N378,Lge_NonAero!$B:$B,0))),1,0))</f>
        <v/>
      </c>
      <c r="C378" s="5" t="str">
        <f>IF($G378="","",IF(AND(LEFT($O378,3)="Wom",ISERROR(MATCH($N378,Lge_Women!$B:$B,0))),1,0))</f>
        <v/>
      </c>
      <c r="D378" s="2" t="str">
        <f>IF($G378="","",IF(AND(OR($O378="Vet",$O378="Woman Vet"),ISERROR(MATCH($N378,Lge_Vets!$B:$B,0))),1,0))</f>
        <v/>
      </c>
      <c r="E378" s="2" t="str">
        <f>IF($G378="","",IF(AND(OR($O378="Junior",$O378="Woman Junior",$O378="Youth",$O378="Woman Youth"),ISERROR(MATCH($N378,Lge_Junior!$B:$B,0))),1,0))</f>
        <v/>
      </c>
      <c r="F378" s="2" t="str">
        <f>IF($G378="","",IF(AND(LEFT($O378,3)="You",ISERROR(MATCH($N378,Lge_Youth!$B:$B,0))),1,0))</f>
        <v/>
      </c>
      <c r="G378" s="3"/>
      <c r="H378" s="3"/>
      <c r="I378" s="3"/>
      <c r="J378" s="3"/>
      <c r="K378" s="6"/>
      <c r="L378" s="4"/>
      <c r="M378" s="4"/>
      <c r="N378" s="8"/>
      <c r="O378" s="8"/>
      <c r="P378" s="9"/>
      <c r="Q378" s="8"/>
      <c r="R378" s="8"/>
      <c r="S378" s="9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10"/>
    </row>
    <row r="379" spans="1:39" x14ac:dyDescent="0.2">
      <c r="A379" s="2" t="str">
        <f>IF($G379="","",IF(ISERROR(MATCH($N379,Lge_Scratch!$B:$B,0)),1,0))</f>
        <v/>
      </c>
      <c r="B379" s="2" t="str">
        <f>IF($G379="","",IF(AND(LEFT($Q379,8)="Non-aero",ISERROR(MATCH($N379,Lge_NonAero!$B:$B,0))),1,0))</f>
        <v/>
      </c>
      <c r="C379" s="5" t="str">
        <f>IF($G379="","",IF(AND(LEFT($O379,3)="Wom",ISERROR(MATCH($N379,Lge_Women!$B:$B,0))),1,0))</f>
        <v/>
      </c>
      <c r="D379" s="2" t="str">
        <f>IF($G379="","",IF(AND(OR($O379="Vet",$O379="Woman Vet"),ISERROR(MATCH($N379,Lge_Vets!$B:$B,0))),1,0))</f>
        <v/>
      </c>
      <c r="E379" s="2" t="str">
        <f>IF($G379="","",IF(AND(OR($O379="Junior",$O379="Woman Junior",$O379="Youth",$O379="Woman Youth"),ISERROR(MATCH($N379,Lge_Junior!$B:$B,0))),1,0))</f>
        <v/>
      </c>
      <c r="F379" s="2" t="str">
        <f>IF($G379="","",IF(AND(LEFT($O379,3)="You",ISERROR(MATCH($N379,Lge_Youth!$B:$B,0))),1,0))</f>
        <v/>
      </c>
      <c r="G379" s="3"/>
      <c r="H379" s="3"/>
      <c r="I379" s="3"/>
      <c r="J379" s="3"/>
      <c r="K379" s="6"/>
      <c r="L379" s="4"/>
      <c r="M379" s="4"/>
      <c r="N379" s="8"/>
      <c r="O379" s="8"/>
      <c r="P379" s="9"/>
      <c r="Q379" s="8"/>
      <c r="R379" s="8"/>
      <c r="S379" s="9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10"/>
    </row>
    <row r="380" spans="1:39" x14ac:dyDescent="0.2">
      <c r="A380" s="2" t="str">
        <f>IF($G380="","",IF(ISERROR(MATCH($N380,Lge_Scratch!$B:$B,0)),1,0))</f>
        <v/>
      </c>
      <c r="B380" s="2" t="str">
        <f>IF($G380="","",IF(AND(LEFT($Q380,8)="Non-aero",ISERROR(MATCH($N380,Lge_NonAero!$B:$B,0))),1,0))</f>
        <v/>
      </c>
      <c r="C380" s="5" t="str">
        <f>IF($G380="","",IF(AND(LEFT($O380,3)="Wom",ISERROR(MATCH($N380,Lge_Women!$B:$B,0))),1,0))</f>
        <v/>
      </c>
      <c r="D380" s="2" t="str">
        <f>IF($G380="","",IF(AND(OR($O380="Vet",$O380="Woman Vet"),ISERROR(MATCH($N380,Lge_Vets!$B:$B,0))),1,0))</f>
        <v/>
      </c>
      <c r="E380" s="2" t="str">
        <f>IF($G380="","",IF(AND(OR($O380="Junior",$O380="Woman Junior",$O380="Youth",$O380="Woman Youth"),ISERROR(MATCH($N380,Lge_Junior!$B:$B,0))),1,0))</f>
        <v/>
      </c>
      <c r="F380" s="2" t="str">
        <f>IF($G380="","",IF(AND(LEFT($O380,3)="You",ISERROR(MATCH($N380,Lge_Youth!$B:$B,0))),1,0))</f>
        <v/>
      </c>
      <c r="G380" s="3"/>
      <c r="H380" s="3"/>
      <c r="I380" s="3"/>
      <c r="J380" s="3"/>
      <c r="K380" s="6"/>
      <c r="L380" s="4"/>
      <c r="M380" s="4"/>
      <c r="N380" s="8"/>
      <c r="O380" s="8"/>
      <c r="P380" s="9"/>
      <c r="Q380" s="8"/>
      <c r="R380" s="8"/>
      <c r="S380" s="9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10"/>
    </row>
    <row r="381" spans="1:39" x14ac:dyDescent="0.2">
      <c r="A381" s="2" t="str">
        <f>IF($G381="","",IF(ISERROR(MATCH($N381,Lge_Scratch!$B:$B,0)),1,0))</f>
        <v/>
      </c>
      <c r="B381" s="2" t="str">
        <f>IF($G381="","",IF(AND(LEFT($Q381,8)="Non-aero",ISERROR(MATCH($N381,Lge_NonAero!$B:$B,0))),1,0))</f>
        <v/>
      </c>
      <c r="C381" s="5" t="str">
        <f>IF($G381="","",IF(AND(LEFT($O381,3)="Wom",ISERROR(MATCH($N381,Lge_Women!$B:$B,0))),1,0))</f>
        <v/>
      </c>
      <c r="D381" s="2" t="str">
        <f>IF($G381="","",IF(AND(OR($O381="Vet",$O381="Woman Vet"),ISERROR(MATCH($N381,Lge_Vets!$B:$B,0))),1,0))</f>
        <v/>
      </c>
      <c r="E381" s="2" t="str">
        <f>IF($G381="","",IF(AND(OR($O381="Junior",$O381="Woman Junior",$O381="Youth",$O381="Woman Youth"),ISERROR(MATCH($N381,Lge_Junior!$B:$B,0))),1,0))</f>
        <v/>
      </c>
      <c r="F381" s="2" t="str">
        <f>IF($G381="","",IF(AND(LEFT($O381,3)="You",ISERROR(MATCH($N381,Lge_Youth!$B:$B,0))),1,0))</f>
        <v/>
      </c>
      <c r="G381" s="3"/>
      <c r="H381" s="3"/>
      <c r="I381" s="3"/>
      <c r="J381" s="3"/>
      <c r="K381" s="6"/>
      <c r="L381" s="4"/>
      <c r="M381" s="4"/>
      <c r="N381" s="8"/>
      <c r="O381" s="8"/>
      <c r="P381" s="9"/>
      <c r="Q381" s="8"/>
      <c r="R381" s="8"/>
      <c r="S381" s="9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10"/>
    </row>
    <row r="382" spans="1:39" x14ac:dyDescent="0.2">
      <c r="A382" s="2" t="str">
        <f>IF($G382="","",IF(ISERROR(MATCH($N382,Lge_Scratch!$B:$B,0)),1,0))</f>
        <v/>
      </c>
      <c r="B382" s="2" t="str">
        <f>IF($G382="","",IF(AND(LEFT($Q382,8)="Non-aero",ISERROR(MATCH($N382,Lge_NonAero!$B:$B,0))),1,0))</f>
        <v/>
      </c>
      <c r="C382" s="5" t="str">
        <f>IF($G382="","",IF(AND(LEFT($O382,3)="Wom",ISERROR(MATCH($N382,Lge_Women!$B:$B,0))),1,0))</f>
        <v/>
      </c>
      <c r="D382" s="2" t="str">
        <f>IF($G382="","",IF(AND(OR($O382="Vet",$O382="Woman Vet"),ISERROR(MATCH($N382,Lge_Vets!$B:$B,0))),1,0))</f>
        <v/>
      </c>
      <c r="E382" s="2" t="str">
        <f>IF($G382="","",IF(AND(OR($O382="Junior",$O382="Woman Junior",$O382="Youth",$O382="Woman Youth"),ISERROR(MATCH($N382,Lge_Junior!$B:$B,0))),1,0))</f>
        <v/>
      </c>
      <c r="F382" s="2" t="str">
        <f>IF($G382="","",IF(AND(LEFT($O382,3)="You",ISERROR(MATCH($N382,Lge_Youth!$B:$B,0))),1,0))</f>
        <v/>
      </c>
      <c r="G382" s="3"/>
      <c r="H382" s="3"/>
      <c r="I382" s="3"/>
      <c r="J382" s="3"/>
      <c r="K382" s="6"/>
      <c r="L382" s="4"/>
      <c r="M382" s="4"/>
      <c r="N382" s="8"/>
      <c r="O382" s="8"/>
      <c r="P382" s="9"/>
      <c r="Q382" s="8"/>
      <c r="R382" s="8"/>
      <c r="S382" s="9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10"/>
    </row>
    <row r="383" spans="1:39" x14ac:dyDescent="0.2">
      <c r="A383" s="2" t="str">
        <f>IF($G383="","",IF(ISERROR(MATCH($N383,Lge_Scratch!$B:$B,0)),1,0))</f>
        <v/>
      </c>
      <c r="B383" s="2" t="str">
        <f>IF($G383="","",IF(AND(LEFT($Q383,8)="Non-aero",ISERROR(MATCH($N383,Lge_NonAero!$B:$B,0))),1,0))</f>
        <v/>
      </c>
      <c r="C383" s="5" t="str">
        <f>IF($G383="","",IF(AND(LEFT($O383,3)="Wom",ISERROR(MATCH($N383,Lge_Women!$B:$B,0))),1,0))</f>
        <v/>
      </c>
      <c r="D383" s="2" t="str">
        <f>IF($G383="","",IF(AND(OR($O383="Vet",$O383="Woman Vet"),ISERROR(MATCH($N383,Lge_Vets!$B:$B,0))),1,0))</f>
        <v/>
      </c>
      <c r="E383" s="2" t="str">
        <f>IF($G383="","",IF(AND(OR($O383="Junior",$O383="Woman Junior",$O383="Youth",$O383="Woman Youth"),ISERROR(MATCH($N383,Lge_Junior!$B:$B,0))),1,0))</f>
        <v/>
      </c>
      <c r="F383" s="2" t="str">
        <f>IF($G383="","",IF(AND(LEFT($O383,3)="You",ISERROR(MATCH($N383,Lge_Youth!$B:$B,0))),1,0))</f>
        <v/>
      </c>
      <c r="G383" s="3"/>
      <c r="H383" s="3"/>
      <c r="I383" s="3"/>
      <c r="J383" s="3"/>
      <c r="K383" s="6"/>
      <c r="L383" s="4"/>
      <c r="M383" s="4"/>
      <c r="N383" s="8"/>
      <c r="O383" s="8"/>
      <c r="P383" s="9"/>
      <c r="Q383" s="8"/>
      <c r="R383" s="8"/>
      <c r="S383" s="9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10"/>
    </row>
    <row r="384" spans="1:39" x14ac:dyDescent="0.2">
      <c r="A384" s="2" t="str">
        <f>IF($G384="","",IF(ISERROR(MATCH($N384,Lge_Scratch!$B:$B,0)),1,0))</f>
        <v/>
      </c>
      <c r="B384" s="2" t="str">
        <f>IF($G384="","",IF(AND(LEFT($Q384,8)="Non-aero",ISERROR(MATCH($N384,Lge_NonAero!$B:$B,0))),1,0))</f>
        <v/>
      </c>
      <c r="C384" s="5" t="str">
        <f>IF($G384="","",IF(AND(LEFT($O384,3)="Wom",ISERROR(MATCH($N384,Lge_Women!$B:$B,0))),1,0))</f>
        <v/>
      </c>
      <c r="D384" s="2" t="str">
        <f>IF($G384="","",IF(AND(OR($O384="Vet",$O384="Woman Vet"),ISERROR(MATCH($N384,Lge_Vets!$B:$B,0))),1,0))</f>
        <v/>
      </c>
      <c r="E384" s="2" t="str">
        <f>IF($G384="","",IF(AND(OR($O384="Junior",$O384="Woman Junior",$O384="Youth",$O384="Woman Youth"),ISERROR(MATCH($N384,Lge_Junior!$B:$B,0))),1,0))</f>
        <v/>
      </c>
      <c r="F384" s="2" t="str">
        <f>IF($G384="","",IF(AND(LEFT($O384,3)="You",ISERROR(MATCH($N384,Lge_Youth!$B:$B,0))),1,0))</f>
        <v/>
      </c>
      <c r="G384" s="3"/>
      <c r="H384" s="3"/>
      <c r="I384" s="3"/>
      <c r="J384" s="3"/>
      <c r="K384" s="6"/>
      <c r="L384" s="4"/>
      <c r="M384" s="4"/>
      <c r="N384" s="8"/>
      <c r="O384" s="8"/>
      <c r="P384" s="9"/>
      <c r="Q384" s="8"/>
      <c r="R384" s="8"/>
      <c r="S384" s="9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10"/>
    </row>
    <row r="385" spans="1:39" x14ac:dyDescent="0.2">
      <c r="A385" s="2" t="str">
        <f>IF($G385="","",IF(ISERROR(MATCH($N385,Lge_Scratch!$B:$B,0)),1,0))</f>
        <v/>
      </c>
      <c r="B385" s="2" t="str">
        <f>IF($G385="","",IF(AND(LEFT($Q385,8)="Non-aero",ISERROR(MATCH($N385,Lge_NonAero!$B:$B,0))),1,0))</f>
        <v/>
      </c>
      <c r="C385" s="5" t="str">
        <f>IF($G385="","",IF(AND(LEFT($O385,3)="Wom",ISERROR(MATCH($N385,Lge_Women!$B:$B,0))),1,0))</f>
        <v/>
      </c>
      <c r="D385" s="2" t="str">
        <f>IF($G385="","",IF(AND(OR($O385="Vet",$O385="Woman Vet"),ISERROR(MATCH($N385,Lge_Vets!$B:$B,0))),1,0))</f>
        <v/>
      </c>
      <c r="E385" s="2" t="str">
        <f>IF($G385="","",IF(AND(OR($O385="Junior",$O385="Woman Junior",$O385="Youth",$O385="Woman Youth"),ISERROR(MATCH($N385,Lge_Junior!$B:$B,0))),1,0))</f>
        <v/>
      </c>
      <c r="F385" s="2" t="str">
        <f>IF($G385="","",IF(AND(LEFT($O385,3)="You",ISERROR(MATCH($N385,Lge_Youth!$B:$B,0))),1,0))</f>
        <v/>
      </c>
      <c r="G385" s="3"/>
      <c r="H385" s="3"/>
      <c r="I385" s="3"/>
      <c r="J385" s="3"/>
      <c r="K385" s="6"/>
      <c r="L385" s="4"/>
      <c r="M385" s="4"/>
      <c r="N385" s="8"/>
      <c r="O385" s="8"/>
      <c r="P385" s="9"/>
      <c r="Q385" s="8"/>
      <c r="R385" s="8"/>
      <c r="S385" s="9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10"/>
    </row>
    <row r="386" spans="1:39" x14ac:dyDescent="0.2">
      <c r="A386" s="2" t="str">
        <f>IF($G386="","",IF(ISERROR(MATCH($N386,Lge_Scratch!$B:$B,0)),1,0))</f>
        <v/>
      </c>
      <c r="B386" s="2" t="str">
        <f>IF($G386="","",IF(AND(LEFT($Q386,8)="Non-aero",ISERROR(MATCH($N386,Lge_NonAero!$B:$B,0))),1,0))</f>
        <v/>
      </c>
      <c r="C386" s="5" t="str">
        <f>IF($G386="","",IF(AND(LEFT($O386,3)="Wom",ISERROR(MATCH($N386,Lge_Women!$B:$B,0))),1,0))</f>
        <v/>
      </c>
      <c r="D386" s="2" t="str">
        <f>IF($G386="","",IF(AND(OR($O386="Vet",$O386="Woman Vet"),ISERROR(MATCH($N386,Lge_Vets!$B:$B,0))),1,0))</f>
        <v/>
      </c>
      <c r="E386" s="2" t="str">
        <f>IF($G386="","",IF(AND(OR($O386="Junior",$O386="Woman Junior",$O386="Youth",$O386="Woman Youth"),ISERROR(MATCH($N386,Lge_Junior!$B:$B,0))),1,0))</f>
        <v/>
      </c>
      <c r="F386" s="2" t="str">
        <f>IF($G386="","",IF(AND(LEFT($O386,3)="You",ISERROR(MATCH($N386,Lge_Youth!$B:$B,0))),1,0))</f>
        <v/>
      </c>
      <c r="G386" s="3"/>
      <c r="H386" s="3"/>
      <c r="I386" s="3"/>
      <c r="J386" s="3"/>
      <c r="K386" s="6"/>
      <c r="L386" s="4"/>
      <c r="M386" s="4"/>
      <c r="N386" s="8"/>
      <c r="O386" s="8"/>
      <c r="P386" s="9"/>
      <c r="Q386" s="8"/>
      <c r="R386" s="8"/>
      <c r="S386" s="9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10"/>
    </row>
    <row r="387" spans="1:39" x14ac:dyDescent="0.2">
      <c r="A387" s="2" t="str">
        <f>IF($G387="","",IF(ISERROR(MATCH($N387,Lge_Scratch!$B:$B,0)),1,0))</f>
        <v/>
      </c>
      <c r="B387" s="2" t="str">
        <f>IF($G387="","",IF(AND(LEFT($Q387,8)="Non-aero",ISERROR(MATCH($N387,Lge_NonAero!$B:$B,0))),1,0))</f>
        <v/>
      </c>
      <c r="C387" s="5" t="str">
        <f>IF($G387="","",IF(AND(LEFT($O387,3)="Wom",ISERROR(MATCH($N387,Lge_Women!$B:$B,0))),1,0))</f>
        <v/>
      </c>
      <c r="D387" s="2" t="str">
        <f>IF($G387="","",IF(AND(OR($O387="Vet",$O387="Woman Vet"),ISERROR(MATCH($N387,Lge_Vets!$B:$B,0))),1,0))</f>
        <v/>
      </c>
      <c r="E387" s="2" t="str">
        <f>IF($G387="","",IF(AND(OR($O387="Junior",$O387="Woman Junior",$O387="Youth",$O387="Woman Youth"),ISERROR(MATCH($N387,Lge_Junior!$B:$B,0))),1,0))</f>
        <v/>
      </c>
      <c r="F387" s="2" t="str">
        <f>IF($G387="","",IF(AND(LEFT($O387,3)="You",ISERROR(MATCH($N387,Lge_Youth!$B:$B,0))),1,0))</f>
        <v/>
      </c>
      <c r="G387" s="3"/>
      <c r="H387" s="3"/>
      <c r="I387" s="3"/>
      <c r="J387" s="3"/>
      <c r="K387" s="6"/>
      <c r="L387" s="4"/>
      <c r="M387" s="4"/>
      <c r="N387" s="8"/>
      <c r="O387" s="8"/>
      <c r="P387" s="9"/>
      <c r="Q387" s="8"/>
      <c r="R387" s="8"/>
      <c r="S387" s="9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10"/>
    </row>
    <row r="388" spans="1:39" x14ac:dyDescent="0.2">
      <c r="A388" s="2" t="str">
        <f>IF($G388="","",IF(ISERROR(MATCH($N388,Lge_Scratch!$B:$B,0)),1,0))</f>
        <v/>
      </c>
      <c r="B388" s="2" t="str">
        <f>IF($G388="","",IF(AND(LEFT($Q388,8)="Non-aero",ISERROR(MATCH($N388,Lge_NonAero!$B:$B,0))),1,0))</f>
        <v/>
      </c>
      <c r="C388" s="5" t="str">
        <f>IF($G388="","",IF(AND(LEFT($O388,3)="Wom",ISERROR(MATCH($N388,Lge_Women!$B:$B,0))),1,0))</f>
        <v/>
      </c>
      <c r="D388" s="2" t="str">
        <f>IF($G388="","",IF(AND(OR($O388="Vet",$O388="Woman Vet"),ISERROR(MATCH($N388,Lge_Vets!$B:$B,0))),1,0))</f>
        <v/>
      </c>
      <c r="E388" s="2" t="str">
        <f>IF($G388="","",IF(AND(OR($O388="Junior",$O388="Woman Junior",$O388="Youth",$O388="Woman Youth"),ISERROR(MATCH($N388,Lge_Junior!$B:$B,0))),1,0))</f>
        <v/>
      </c>
      <c r="F388" s="2" t="str">
        <f>IF($G388="","",IF(AND(LEFT($O388,3)="You",ISERROR(MATCH($N388,Lge_Youth!$B:$B,0))),1,0))</f>
        <v/>
      </c>
      <c r="G388" s="3"/>
      <c r="H388" s="3"/>
      <c r="I388" s="3"/>
      <c r="J388" s="3"/>
      <c r="K388" s="6"/>
      <c r="L388" s="4"/>
      <c r="M388" s="4"/>
      <c r="N388" s="8"/>
      <c r="O388" s="8"/>
      <c r="P388" s="9"/>
      <c r="Q388" s="8"/>
      <c r="R388" s="8"/>
      <c r="S388" s="9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10"/>
    </row>
    <row r="389" spans="1:39" x14ac:dyDescent="0.2">
      <c r="A389" s="2" t="str">
        <f>IF($G389="","",IF(ISERROR(MATCH($N389,Lge_Scratch!$B:$B,0)),1,0))</f>
        <v/>
      </c>
      <c r="B389" s="2" t="str">
        <f>IF($G389="","",IF(AND(LEFT($Q389,8)="Non-aero",ISERROR(MATCH($N389,Lge_NonAero!$B:$B,0))),1,0))</f>
        <v/>
      </c>
      <c r="C389" s="5" t="str">
        <f>IF($G389="","",IF(AND(LEFT($O389,3)="Wom",ISERROR(MATCH($N389,Lge_Women!$B:$B,0))),1,0))</f>
        <v/>
      </c>
      <c r="D389" s="2" t="str">
        <f>IF($G389="","",IF(AND(OR($O389="Vet",$O389="Woman Vet"),ISERROR(MATCH($N389,Lge_Vets!$B:$B,0))),1,0))</f>
        <v/>
      </c>
      <c r="E389" s="2" t="str">
        <f>IF($G389="","",IF(AND(OR($O389="Junior",$O389="Woman Junior",$O389="Youth",$O389="Woman Youth"),ISERROR(MATCH($N389,Lge_Junior!$B:$B,0))),1,0))</f>
        <v/>
      </c>
      <c r="F389" s="2" t="str">
        <f>IF($G389="","",IF(AND(LEFT($O389,3)="You",ISERROR(MATCH($N389,Lge_Youth!$B:$B,0))),1,0))</f>
        <v/>
      </c>
      <c r="G389" s="3"/>
      <c r="H389" s="3"/>
      <c r="I389" s="3"/>
      <c r="J389" s="3"/>
      <c r="K389" s="6"/>
      <c r="L389" s="4"/>
      <c r="M389" s="4"/>
      <c r="N389" s="8"/>
      <c r="O389" s="8"/>
      <c r="P389" s="9"/>
      <c r="Q389" s="8"/>
      <c r="R389" s="8"/>
      <c r="S389" s="9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10"/>
    </row>
    <row r="390" spans="1:39" x14ac:dyDescent="0.2">
      <c r="A390" s="2" t="str">
        <f>IF($G390="","",IF(ISERROR(MATCH($N390,Lge_Scratch!$B:$B,0)),1,0))</f>
        <v/>
      </c>
      <c r="B390" s="2" t="str">
        <f>IF($G390="","",IF(AND(LEFT($Q390,8)="Non-aero",ISERROR(MATCH($N390,Lge_NonAero!$B:$B,0))),1,0))</f>
        <v/>
      </c>
      <c r="C390" s="5" t="str">
        <f>IF($G390="","",IF(AND(LEFT($O390,3)="Wom",ISERROR(MATCH($N390,Lge_Women!$B:$B,0))),1,0))</f>
        <v/>
      </c>
      <c r="D390" s="2" t="str">
        <f>IF($G390="","",IF(AND(OR($O390="Vet",$O390="Woman Vet"),ISERROR(MATCH($N390,Lge_Vets!$B:$B,0))),1,0))</f>
        <v/>
      </c>
      <c r="E390" s="2" t="str">
        <f>IF($G390="","",IF(AND(OR($O390="Junior",$O390="Woman Junior",$O390="Youth",$O390="Woman Youth"),ISERROR(MATCH($N390,Lge_Junior!$B:$B,0))),1,0))</f>
        <v/>
      </c>
      <c r="F390" s="2" t="str">
        <f>IF($G390="","",IF(AND(LEFT($O390,3)="You",ISERROR(MATCH($N390,Lge_Youth!$B:$B,0))),1,0))</f>
        <v/>
      </c>
      <c r="G390" s="3"/>
      <c r="H390" s="3"/>
      <c r="I390" s="3"/>
      <c r="J390" s="3"/>
      <c r="K390" s="6"/>
      <c r="L390" s="4"/>
      <c r="M390" s="4"/>
      <c r="N390" s="8"/>
      <c r="O390" s="8"/>
      <c r="P390" s="9"/>
      <c r="Q390" s="8"/>
      <c r="R390" s="8"/>
      <c r="S390" s="9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10"/>
    </row>
    <row r="391" spans="1:39" x14ac:dyDescent="0.2">
      <c r="A391" s="2" t="str">
        <f>IF($G391="","",IF(ISERROR(MATCH($N391,Lge_Scratch!$B:$B,0)),1,0))</f>
        <v/>
      </c>
      <c r="B391" s="2" t="str">
        <f>IF($G391="","",IF(AND(LEFT($Q391,8)="Non-aero",ISERROR(MATCH($N391,Lge_NonAero!$B:$B,0))),1,0))</f>
        <v/>
      </c>
      <c r="C391" s="5" t="str">
        <f>IF($G391="","",IF(AND(LEFT($O391,3)="Wom",ISERROR(MATCH($N391,Lge_Women!$B:$B,0))),1,0))</f>
        <v/>
      </c>
      <c r="D391" s="2" t="str">
        <f>IF($G391="","",IF(AND(OR($O391="Vet",$O391="Woman Vet"),ISERROR(MATCH($N391,Lge_Vets!$B:$B,0))),1,0))</f>
        <v/>
      </c>
      <c r="E391" s="2" t="str">
        <f>IF($G391="","",IF(AND(OR($O391="Junior",$O391="Woman Junior",$O391="Youth",$O391="Woman Youth"),ISERROR(MATCH($N391,Lge_Junior!$B:$B,0))),1,0))</f>
        <v/>
      </c>
      <c r="F391" s="2" t="str">
        <f>IF($G391="","",IF(AND(LEFT($O391,3)="You",ISERROR(MATCH($N391,Lge_Youth!$B:$B,0))),1,0))</f>
        <v/>
      </c>
      <c r="G391" s="3"/>
      <c r="H391" s="3"/>
      <c r="I391" s="3"/>
      <c r="J391" s="3"/>
      <c r="K391" s="6"/>
      <c r="L391" s="4"/>
      <c r="M391" s="4"/>
      <c r="N391" s="8"/>
      <c r="O391" s="8"/>
      <c r="P391" s="9"/>
      <c r="Q391" s="8"/>
      <c r="R391" s="8"/>
      <c r="S391" s="9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10"/>
    </row>
    <row r="392" spans="1:39" x14ac:dyDescent="0.2">
      <c r="A392" s="2" t="str">
        <f>IF($G392="","",IF(ISERROR(MATCH($N392,Lge_Scratch!$B:$B,0)),1,0))</f>
        <v/>
      </c>
      <c r="B392" s="2" t="str">
        <f>IF($G392="","",IF(AND(LEFT($Q392,8)="Non-aero",ISERROR(MATCH($N392,Lge_NonAero!$B:$B,0))),1,0))</f>
        <v/>
      </c>
      <c r="C392" s="5" t="str">
        <f>IF($G392="","",IF(AND(LEFT($O392,3)="Wom",ISERROR(MATCH($N392,Lge_Women!$B:$B,0))),1,0))</f>
        <v/>
      </c>
      <c r="D392" s="2" t="str">
        <f>IF($G392="","",IF(AND(OR($O392="Vet",$O392="Woman Vet"),ISERROR(MATCH($N392,Lge_Vets!$B:$B,0))),1,0))</f>
        <v/>
      </c>
      <c r="E392" s="2" t="str">
        <f>IF($G392="","",IF(AND(OR($O392="Junior",$O392="Woman Junior",$O392="Youth",$O392="Woman Youth"),ISERROR(MATCH($N392,Lge_Junior!$B:$B,0))),1,0))</f>
        <v/>
      </c>
      <c r="F392" s="2" t="str">
        <f>IF($G392="","",IF(AND(LEFT($O392,3)="You",ISERROR(MATCH($N392,Lge_Youth!$B:$B,0))),1,0))</f>
        <v/>
      </c>
      <c r="G392" s="3"/>
      <c r="H392" s="3"/>
      <c r="I392" s="3"/>
      <c r="J392" s="3"/>
      <c r="K392" s="6"/>
      <c r="L392" s="4"/>
      <c r="M392" s="4"/>
      <c r="N392" s="8"/>
      <c r="O392" s="8"/>
      <c r="P392" s="9"/>
      <c r="Q392" s="8"/>
      <c r="R392" s="8"/>
      <c r="S392" s="9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10"/>
    </row>
    <row r="393" spans="1:39" x14ac:dyDescent="0.2">
      <c r="A393" s="2" t="str">
        <f>IF($G393="","",IF(ISERROR(MATCH($N393,Lge_Scratch!$B:$B,0)),1,0))</f>
        <v/>
      </c>
      <c r="B393" s="2" t="str">
        <f>IF($G393="","",IF(AND(LEFT($Q393,8)="Non-aero",ISERROR(MATCH($N393,Lge_NonAero!$B:$B,0))),1,0))</f>
        <v/>
      </c>
      <c r="C393" s="5" t="str">
        <f>IF($G393="","",IF(AND(LEFT($O393,3)="Wom",ISERROR(MATCH($N393,Lge_Women!$B:$B,0))),1,0))</f>
        <v/>
      </c>
      <c r="D393" s="2" t="str">
        <f>IF($G393="","",IF(AND(OR($O393="Vet",$O393="Woman Vet"),ISERROR(MATCH($N393,Lge_Vets!$B:$B,0))),1,0))</f>
        <v/>
      </c>
      <c r="E393" s="2" t="str">
        <f>IF($G393="","",IF(AND(OR($O393="Junior",$O393="Woman Junior",$O393="Youth",$O393="Woman Youth"),ISERROR(MATCH($N393,Lge_Junior!$B:$B,0))),1,0))</f>
        <v/>
      </c>
      <c r="F393" s="2" t="str">
        <f>IF($G393="","",IF(AND(LEFT($O393,3)="You",ISERROR(MATCH($N393,Lge_Youth!$B:$B,0))),1,0))</f>
        <v/>
      </c>
      <c r="G393" s="3"/>
      <c r="H393" s="3"/>
      <c r="I393" s="3"/>
      <c r="J393" s="3"/>
      <c r="K393" s="6"/>
      <c r="L393" s="4"/>
      <c r="M393" s="4"/>
      <c r="N393" s="8"/>
      <c r="O393" s="8"/>
      <c r="P393" s="9"/>
      <c r="Q393" s="8"/>
      <c r="R393" s="8"/>
      <c r="S393" s="9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10"/>
    </row>
    <row r="394" spans="1:39" x14ac:dyDescent="0.2">
      <c r="A394" s="2" t="str">
        <f>IF($G394="","",IF(ISERROR(MATCH($N394,Lge_Scratch!$B:$B,0)),1,0))</f>
        <v/>
      </c>
      <c r="B394" s="2" t="str">
        <f>IF($G394="","",IF(AND(LEFT($Q394,8)="Non-aero",ISERROR(MATCH($N394,Lge_NonAero!$B:$B,0))),1,0))</f>
        <v/>
      </c>
      <c r="C394" s="5" t="str">
        <f>IF($G394="","",IF(AND(LEFT($O394,3)="Wom",ISERROR(MATCH($N394,Lge_Women!$B:$B,0))),1,0))</f>
        <v/>
      </c>
      <c r="D394" s="2" t="str">
        <f>IF($G394="","",IF(AND(OR($O394="Vet",$O394="Woman Vet"),ISERROR(MATCH($N394,Lge_Vets!$B:$B,0))),1,0))</f>
        <v/>
      </c>
      <c r="E394" s="2" t="str">
        <f>IF($G394="","",IF(AND(OR($O394="Junior",$O394="Woman Junior",$O394="Youth",$O394="Woman Youth"),ISERROR(MATCH($N394,Lge_Junior!$B:$B,0))),1,0))</f>
        <v/>
      </c>
      <c r="F394" s="2" t="str">
        <f>IF($G394="","",IF(AND(LEFT($O394,3)="You",ISERROR(MATCH($N394,Lge_Youth!$B:$B,0))),1,0))</f>
        <v/>
      </c>
      <c r="G394" s="3"/>
      <c r="H394" s="3"/>
      <c r="I394" s="3"/>
      <c r="J394" s="3"/>
      <c r="K394" s="6"/>
      <c r="L394" s="4"/>
      <c r="M394" s="4"/>
      <c r="N394" s="8"/>
      <c r="O394" s="8"/>
      <c r="P394" s="9"/>
      <c r="Q394" s="8"/>
      <c r="R394" s="8"/>
      <c r="S394" s="9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10"/>
    </row>
    <row r="395" spans="1:39" x14ac:dyDescent="0.2">
      <c r="A395" s="2" t="str">
        <f>IF($G395="","",IF(ISERROR(MATCH($N395,Lge_Scratch!$B:$B,0)),1,0))</f>
        <v/>
      </c>
      <c r="B395" s="2" t="str">
        <f>IF($G395="","",IF(AND(LEFT($Q395,8)="Non-aero",ISERROR(MATCH($N395,Lge_NonAero!$B:$B,0))),1,0))</f>
        <v/>
      </c>
      <c r="C395" s="5" t="str">
        <f>IF($G395="","",IF(AND(LEFT($O395,3)="Wom",ISERROR(MATCH($N395,Lge_Women!$B:$B,0))),1,0))</f>
        <v/>
      </c>
      <c r="D395" s="2" t="str">
        <f>IF($G395="","",IF(AND(OR($O395="Vet",$O395="Woman Vet"),ISERROR(MATCH($N395,Lge_Vets!$B:$B,0))),1,0))</f>
        <v/>
      </c>
      <c r="E395" s="2" t="str">
        <f>IF($G395="","",IF(AND(OR($O395="Junior",$O395="Woman Junior",$O395="Youth",$O395="Woman Youth"),ISERROR(MATCH($N395,Lge_Junior!$B:$B,0))),1,0))</f>
        <v/>
      </c>
      <c r="F395" s="2" t="str">
        <f>IF($G395="","",IF(AND(LEFT($O395,3)="You",ISERROR(MATCH($N395,Lge_Youth!$B:$B,0))),1,0))</f>
        <v/>
      </c>
      <c r="G395" s="3"/>
      <c r="H395" s="3"/>
      <c r="I395" s="3"/>
      <c r="J395" s="3"/>
      <c r="K395" s="6"/>
      <c r="L395" s="4"/>
      <c r="M395" s="4"/>
      <c r="N395" s="8"/>
      <c r="O395" s="8"/>
      <c r="P395" s="9"/>
      <c r="Q395" s="8"/>
      <c r="R395" s="8"/>
      <c r="S395" s="9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10"/>
    </row>
    <row r="396" spans="1:39" x14ac:dyDescent="0.2">
      <c r="A396" s="2" t="str">
        <f>IF($G396="","",IF(ISERROR(MATCH($N396,Lge_Scratch!$B:$B,0)),1,0))</f>
        <v/>
      </c>
      <c r="B396" s="2" t="str">
        <f>IF($G396="","",IF(AND(LEFT($Q396,8)="Non-aero",ISERROR(MATCH($N396,Lge_NonAero!$B:$B,0))),1,0))</f>
        <v/>
      </c>
      <c r="C396" s="5" t="str">
        <f>IF($G396="","",IF(AND(LEFT($O396,3)="Wom",ISERROR(MATCH($N396,Lge_Women!$B:$B,0))),1,0))</f>
        <v/>
      </c>
      <c r="D396" s="2" t="str">
        <f>IF($G396="","",IF(AND(OR($O396="Vet",$O396="Woman Vet"),ISERROR(MATCH($N396,Lge_Vets!$B:$B,0))),1,0))</f>
        <v/>
      </c>
      <c r="E396" s="2" t="str">
        <f>IF($G396="","",IF(AND(OR($O396="Junior",$O396="Woman Junior",$O396="Youth",$O396="Woman Youth"),ISERROR(MATCH($N396,Lge_Junior!$B:$B,0))),1,0))</f>
        <v/>
      </c>
      <c r="F396" s="2" t="str">
        <f>IF($G396="","",IF(AND(LEFT($O396,3)="You",ISERROR(MATCH($N396,Lge_Youth!$B:$B,0))),1,0))</f>
        <v/>
      </c>
      <c r="G396" s="3"/>
      <c r="H396" s="3"/>
      <c r="I396" s="3"/>
      <c r="J396" s="3"/>
      <c r="K396" s="6"/>
      <c r="L396" s="4"/>
      <c r="M396" s="4"/>
      <c r="N396" s="8"/>
      <c r="O396" s="8"/>
      <c r="P396" s="9"/>
      <c r="Q396" s="8"/>
      <c r="R396" s="8"/>
      <c r="S396" s="9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10"/>
    </row>
    <row r="397" spans="1:39" x14ac:dyDescent="0.2">
      <c r="A397" s="2" t="str">
        <f>IF($G397="","",IF(ISERROR(MATCH($N397,Lge_Scratch!$B:$B,0)),1,0))</f>
        <v/>
      </c>
      <c r="B397" s="2" t="str">
        <f>IF($G397="","",IF(AND(LEFT($Q397,8)="Non-aero",ISERROR(MATCH($N397,Lge_NonAero!$B:$B,0))),1,0))</f>
        <v/>
      </c>
      <c r="C397" s="5" t="str">
        <f>IF($G397="","",IF(AND(LEFT($O397,3)="Wom",ISERROR(MATCH($N397,Lge_Women!$B:$B,0))),1,0))</f>
        <v/>
      </c>
      <c r="D397" s="2" t="str">
        <f>IF($G397="","",IF(AND(OR($O397="Vet",$O397="Woman Vet"),ISERROR(MATCH($N397,Lge_Vets!$B:$B,0))),1,0))</f>
        <v/>
      </c>
      <c r="E397" s="2" t="str">
        <f>IF($G397="","",IF(AND(OR($O397="Junior",$O397="Woman Junior",$O397="Youth",$O397="Woman Youth"),ISERROR(MATCH($N397,Lge_Junior!$B:$B,0))),1,0))</f>
        <v/>
      </c>
      <c r="F397" s="2" t="str">
        <f>IF($G397="","",IF(AND(LEFT($O397,3)="You",ISERROR(MATCH($N397,Lge_Youth!$B:$B,0))),1,0))</f>
        <v/>
      </c>
      <c r="G397" s="3"/>
      <c r="H397" s="3"/>
      <c r="I397" s="3"/>
      <c r="J397" s="3"/>
      <c r="K397" s="6"/>
      <c r="L397" s="4"/>
      <c r="M397" s="4"/>
      <c r="N397" s="8"/>
      <c r="O397" s="8"/>
      <c r="P397" s="9"/>
      <c r="Q397" s="8"/>
      <c r="R397" s="8"/>
      <c r="S397" s="9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10"/>
    </row>
    <row r="398" spans="1:39" x14ac:dyDescent="0.2">
      <c r="A398" s="2" t="str">
        <f>IF($G398="","",IF(ISERROR(MATCH($N398,Lge_Scratch!$B:$B,0)),1,0))</f>
        <v/>
      </c>
      <c r="B398" s="2" t="str">
        <f>IF($G398="","",IF(AND(LEFT($Q398,8)="Non-aero",ISERROR(MATCH($N398,Lge_NonAero!$B:$B,0))),1,0))</f>
        <v/>
      </c>
      <c r="C398" s="5" t="str">
        <f>IF($G398="","",IF(AND(LEFT($O398,3)="Wom",ISERROR(MATCH($N398,Lge_Women!$B:$B,0))),1,0))</f>
        <v/>
      </c>
      <c r="D398" s="2" t="str">
        <f>IF($G398="","",IF(AND(OR($O398="Vet",$O398="Woman Vet"),ISERROR(MATCH($N398,Lge_Vets!$B:$B,0))),1,0))</f>
        <v/>
      </c>
      <c r="E398" s="2" t="str">
        <f>IF($G398="","",IF(AND(OR($O398="Junior",$O398="Woman Junior",$O398="Youth",$O398="Woman Youth"),ISERROR(MATCH($N398,Lge_Junior!$B:$B,0))),1,0))</f>
        <v/>
      </c>
      <c r="F398" s="2" t="str">
        <f>IF($G398="","",IF(AND(LEFT($O398,3)="You",ISERROR(MATCH($N398,Lge_Youth!$B:$B,0))),1,0))</f>
        <v/>
      </c>
      <c r="G398" s="3"/>
      <c r="H398" s="3"/>
      <c r="I398" s="3"/>
      <c r="J398" s="3"/>
      <c r="K398" s="6"/>
      <c r="L398" s="4"/>
      <c r="M398" s="4"/>
      <c r="N398" s="8"/>
      <c r="O398" s="8"/>
      <c r="P398" s="9"/>
      <c r="Q398" s="8"/>
      <c r="R398" s="8"/>
      <c r="S398" s="9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10"/>
    </row>
    <row r="399" spans="1:39" x14ac:dyDescent="0.2">
      <c r="A399" s="2" t="str">
        <f>IF($G399="","",IF(ISERROR(MATCH($N399,Lge_Scratch!$B:$B,0)),1,0))</f>
        <v/>
      </c>
      <c r="B399" s="2" t="str">
        <f>IF($G399="","",IF(AND(LEFT($Q399,8)="Non-aero",ISERROR(MATCH($N399,Lge_NonAero!$B:$B,0))),1,0))</f>
        <v/>
      </c>
      <c r="C399" s="5" t="str">
        <f>IF($G399="","",IF(AND(LEFT($O399,3)="Wom",ISERROR(MATCH($N399,Lge_Women!$B:$B,0))),1,0))</f>
        <v/>
      </c>
      <c r="D399" s="2" t="str">
        <f>IF($G399="","",IF(AND(OR($O399="Vet",$O399="Woman Vet"),ISERROR(MATCH($N399,Lge_Vets!$B:$B,0))),1,0))</f>
        <v/>
      </c>
      <c r="E399" s="2" t="str">
        <f>IF($G399="","",IF(AND(OR($O399="Junior",$O399="Woman Junior",$O399="Youth",$O399="Woman Youth"),ISERROR(MATCH($N399,Lge_Junior!$B:$B,0))),1,0))</f>
        <v/>
      </c>
      <c r="F399" s="2" t="str">
        <f>IF($G399="","",IF(AND(LEFT($O399,3)="You",ISERROR(MATCH($N399,Lge_Youth!$B:$B,0))),1,0))</f>
        <v/>
      </c>
      <c r="G399" s="3"/>
      <c r="H399" s="3"/>
      <c r="I399" s="3"/>
      <c r="J399" s="3"/>
      <c r="K399" s="6"/>
      <c r="L399" s="4"/>
      <c r="M399" s="4"/>
      <c r="N399" s="8"/>
      <c r="O399" s="8"/>
      <c r="P399" s="9"/>
      <c r="Q399" s="8"/>
      <c r="R399" s="8"/>
      <c r="S399" s="9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10"/>
    </row>
    <row r="400" spans="1:39" x14ac:dyDescent="0.2">
      <c r="A400" s="2" t="str">
        <f>IF($G400="","",IF(ISERROR(MATCH($N400,Lge_Scratch!$B:$B,0)),1,0))</f>
        <v/>
      </c>
      <c r="B400" s="2" t="str">
        <f>IF($G400="","",IF(AND(LEFT($Q400,8)="Non-aero",ISERROR(MATCH($N400,Lge_NonAero!$B:$B,0))),1,0))</f>
        <v/>
      </c>
      <c r="C400" s="5" t="str">
        <f>IF($G400="","",IF(AND(LEFT($O400,3)="Wom",ISERROR(MATCH($N400,Lge_Women!$B:$B,0))),1,0))</f>
        <v/>
      </c>
      <c r="D400" s="2" t="str">
        <f>IF($G400="","",IF(AND(OR($O400="Vet",$O400="Woman Vet"),ISERROR(MATCH($N400,Lge_Vets!$B:$B,0))),1,0))</f>
        <v/>
      </c>
      <c r="E400" s="2" t="str">
        <f>IF($G400="","",IF(AND(OR($O400="Junior",$O400="Woman Junior",$O400="Youth",$O400="Woman Youth"),ISERROR(MATCH($N400,Lge_Junior!$B:$B,0))),1,0))</f>
        <v/>
      </c>
      <c r="F400" s="2" t="str">
        <f>IF($G400="","",IF(AND(LEFT($O400,3)="You",ISERROR(MATCH($N400,Lge_Youth!$B:$B,0))),1,0))</f>
        <v/>
      </c>
      <c r="G400" s="3"/>
      <c r="H400" s="3"/>
      <c r="I400" s="3"/>
      <c r="J400" s="3"/>
      <c r="K400" s="6"/>
      <c r="L400" s="4"/>
      <c r="M400" s="4"/>
      <c r="N400" s="8"/>
      <c r="O400" s="8"/>
      <c r="P400" s="9"/>
      <c r="Q400" s="8"/>
      <c r="R400" s="8"/>
      <c r="S400" s="9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10"/>
    </row>
    <row r="401" spans="1:39" x14ac:dyDescent="0.2">
      <c r="A401" s="2" t="str">
        <f>IF($G401="","",IF(ISERROR(MATCH($N401,Lge_Scratch!$B:$B,0)),1,0))</f>
        <v/>
      </c>
      <c r="B401" s="2" t="str">
        <f>IF($G401="","",IF(AND(LEFT($Q401,8)="Non-aero",ISERROR(MATCH($N401,Lge_NonAero!$B:$B,0))),1,0))</f>
        <v/>
      </c>
      <c r="C401" s="5" t="str">
        <f>IF($G401="","",IF(AND(LEFT($O401,3)="Wom",ISERROR(MATCH($N401,Lge_Women!$B:$B,0))),1,0))</f>
        <v/>
      </c>
      <c r="D401" s="2" t="str">
        <f>IF($G401="","",IF(AND(OR($O401="Vet",$O401="Woman Vet"),ISERROR(MATCH($N401,Lge_Vets!$B:$B,0))),1,0))</f>
        <v/>
      </c>
      <c r="E401" s="2" t="str">
        <f>IF($G401="","",IF(AND(OR($O401="Junior",$O401="Woman Junior",$O401="Youth",$O401="Woman Youth"),ISERROR(MATCH($N401,Lge_Junior!$B:$B,0))),1,0))</f>
        <v/>
      </c>
      <c r="F401" s="2" t="str">
        <f>IF($G401="","",IF(AND(LEFT($O401,3)="You",ISERROR(MATCH($N401,Lge_Youth!$B:$B,0))),1,0))</f>
        <v/>
      </c>
      <c r="G401" s="3"/>
      <c r="H401" s="3"/>
      <c r="I401" s="3"/>
      <c r="J401" s="3"/>
      <c r="K401" s="6"/>
      <c r="L401" s="4"/>
      <c r="M401" s="4"/>
      <c r="N401" s="8"/>
      <c r="O401" s="8"/>
      <c r="P401" s="9"/>
      <c r="Q401" s="8"/>
      <c r="R401" s="8"/>
      <c r="S401" s="9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10"/>
    </row>
    <row r="402" spans="1:39" x14ac:dyDescent="0.2">
      <c r="A402" s="2" t="str">
        <f>IF($G402="","",IF(ISERROR(MATCH($N402,Lge_Scratch!$B:$B,0)),1,0))</f>
        <v/>
      </c>
      <c r="B402" s="2" t="str">
        <f>IF($G402="","",IF(AND(LEFT($Q402,8)="Non-aero",ISERROR(MATCH($N402,Lge_NonAero!$B:$B,0))),1,0))</f>
        <v/>
      </c>
      <c r="C402" s="5" t="str">
        <f>IF($G402="","",IF(AND(LEFT($O402,3)="Wom",ISERROR(MATCH($N402,Lge_Women!$B:$B,0))),1,0))</f>
        <v/>
      </c>
      <c r="D402" s="2" t="str">
        <f>IF($G402="","",IF(AND(OR($O402="Vet",$O402="Woman Vet"),ISERROR(MATCH($N402,Lge_Vets!$B:$B,0))),1,0))</f>
        <v/>
      </c>
      <c r="E402" s="2" t="str">
        <f>IF($G402="","",IF(AND(OR($O402="Junior",$O402="Woman Junior",$O402="Youth",$O402="Woman Youth"),ISERROR(MATCH($N402,Lge_Junior!$B:$B,0))),1,0))</f>
        <v/>
      </c>
      <c r="F402" s="2" t="str">
        <f>IF($G402="","",IF(AND(LEFT($O402,3)="You",ISERROR(MATCH($N402,Lge_Youth!$B:$B,0))),1,0))</f>
        <v/>
      </c>
      <c r="G402" s="3"/>
      <c r="H402" s="3"/>
      <c r="I402" s="3"/>
      <c r="J402" s="3"/>
      <c r="K402" s="6"/>
      <c r="L402" s="4"/>
      <c r="M402" s="4"/>
      <c r="N402" s="8"/>
      <c r="O402" s="8"/>
      <c r="P402" s="9"/>
      <c r="Q402" s="8"/>
      <c r="R402" s="8"/>
      <c r="S402" s="9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10"/>
    </row>
    <row r="403" spans="1:39" x14ac:dyDescent="0.2">
      <c r="A403" s="2" t="str">
        <f>IF($G403="","",IF(ISERROR(MATCH($N403,Lge_Scratch!$B:$B,0)),1,0))</f>
        <v/>
      </c>
      <c r="B403" s="2" t="str">
        <f>IF($G403="","",IF(AND(LEFT($Q403,8)="Non-aero",ISERROR(MATCH($N403,Lge_NonAero!$B:$B,0))),1,0))</f>
        <v/>
      </c>
      <c r="C403" s="5" t="str">
        <f>IF($G403="","",IF(AND(LEFT($O403,3)="Wom",ISERROR(MATCH($N403,Lge_Women!$B:$B,0))),1,0))</f>
        <v/>
      </c>
      <c r="D403" s="2" t="str">
        <f>IF($G403="","",IF(AND(OR($O403="Vet",$O403="Woman Vet"),ISERROR(MATCH($N403,Lge_Vets!$B:$B,0))),1,0))</f>
        <v/>
      </c>
      <c r="E403" s="2" t="str">
        <f>IF($G403="","",IF(AND(OR($O403="Junior",$O403="Woman Junior",$O403="Youth",$O403="Woman Youth"),ISERROR(MATCH($N403,Lge_Junior!$B:$B,0))),1,0))</f>
        <v/>
      </c>
      <c r="F403" s="2" t="str">
        <f>IF($G403="","",IF(AND(LEFT($O403,3)="You",ISERROR(MATCH($N403,Lge_Youth!$B:$B,0))),1,0))</f>
        <v/>
      </c>
      <c r="G403" s="3"/>
      <c r="H403" s="3"/>
      <c r="I403" s="3"/>
      <c r="J403" s="3"/>
      <c r="K403" s="6"/>
      <c r="L403" s="4"/>
      <c r="M403" s="4"/>
      <c r="N403" s="8"/>
      <c r="O403" s="8"/>
      <c r="P403" s="9"/>
      <c r="Q403" s="8"/>
      <c r="R403" s="8"/>
      <c r="S403" s="9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10"/>
    </row>
    <row r="404" spans="1:39" x14ac:dyDescent="0.2">
      <c r="A404" s="2" t="str">
        <f>IF($G404="","",IF(ISERROR(MATCH($N404,Lge_Scratch!$B:$B,0)),1,0))</f>
        <v/>
      </c>
      <c r="B404" s="2" t="str">
        <f>IF($G404="","",IF(AND(LEFT($Q404,8)="Non-aero",ISERROR(MATCH($N404,Lge_NonAero!$B:$B,0))),1,0))</f>
        <v/>
      </c>
      <c r="C404" s="5" t="str">
        <f>IF($G404="","",IF(AND(LEFT($O404,3)="Wom",ISERROR(MATCH($N404,Lge_Women!$B:$B,0))),1,0))</f>
        <v/>
      </c>
      <c r="D404" s="2" t="str">
        <f>IF($G404="","",IF(AND(OR($O404="Vet",$O404="Woman Vet"),ISERROR(MATCH($N404,Lge_Vets!$B:$B,0))),1,0))</f>
        <v/>
      </c>
      <c r="E404" s="2" t="str">
        <f>IF($G404="","",IF(AND(OR($O404="Junior",$O404="Woman Junior",$O404="Youth",$O404="Woman Youth"),ISERROR(MATCH($N404,Lge_Junior!$B:$B,0))),1,0))</f>
        <v/>
      </c>
      <c r="F404" s="2" t="str">
        <f>IF($G404="","",IF(AND(LEFT($O404,3)="You",ISERROR(MATCH($N404,Lge_Youth!$B:$B,0))),1,0))</f>
        <v/>
      </c>
      <c r="G404" s="3"/>
      <c r="H404" s="3"/>
      <c r="I404" s="3"/>
      <c r="J404" s="3"/>
      <c r="K404" s="6"/>
      <c r="L404" s="4"/>
      <c r="M404" s="4"/>
      <c r="N404" s="8"/>
      <c r="O404" s="8"/>
      <c r="P404" s="9"/>
      <c r="Q404" s="8"/>
      <c r="R404" s="8"/>
      <c r="S404" s="9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10"/>
    </row>
    <row r="405" spans="1:39" x14ac:dyDescent="0.2">
      <c r="A405" s="2" t="str">
        <f>IF($G405="","",IF(ISERROR(MATCH($N405,Lge_Scratch!$B:$B,0)),1,0))</f>
        <v/>
      </c>
      <c r="B405" s="2" t="str">
        <f>IF($G405="","",IF(AND(LEFT($Q405,8)="Non-aero",ISERROR(MATCH($N405,Lge_NonAero!$B:$B,0))),1,0))</f>
        <v/>
      </c>
      <c r="C405" s="5" t="str">
        <f>IF($G405="","",IF(AND(LEFT($O405,3)="Wom",ISERROR(MATCH($N405,Lge_Women!$B:$B,0))),1,0))</f>
        <v/>
      </c>
      <c r="D405" s="2" t="str">
        <f>IF($G405="","",IF(AND(OR($O405="Vet",$O405="Woman Vet"),ISERROR(MATCH($N405,Lge_Vets!$B:$B,0))),1,0))</f>
        <v/>
      </c>
      <c r="E405" s="2" t="str">
        <f>IF($G405="","",IF(AND(OR($O405="Junior",$O405="Woman Junior",$O405="Youth",$O405="Woman Youth"),ISERROR(MATCH($N405,Lge_Junior!$B:$B,0))),1,0))</f>
        <v/>
      </c>
      <c r="F405" s="2" t="str">
        <f>IF($G405="","",IF(AND(LEFT($O405,3)="You",ISERROR(MATCH($N405,Lge_Youth!$B:$B,0))),1,0))</f>
        <v/>
      </c>
      <c r="G405" s="3"/>
      <c r="H405" s="3"/>
      <c r="I405" s="3"/>
      <c r="J405" s="3"/>
      <c r="K405" s="6"/>
      <c r="L405" s="4"/>
      <c r="M405" s="4"/>
      <c r="N405" s="8"/>
      <c r="O405" s="8"/>
      <c r="P405" s="9"/>
      <c r="Q405" s="8"/>
      <c r="R405" s="8"/>
      <c r="S405" s="9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10"/>
    </row>
    <row r="406" spans="1:39" x14ac:dyDescent="0.2">
      <c r="A406" s="2" t="str">
        <f>IF($G406="","",IF(ISERROR(MATCH($N406,Lge_Scratch!$B:$B,0)),1,0))</f>
        <v/>
      </c>
      <c r="B406" s="2" t="str">
        <f>IF($G406="","",IF(AND(LEFT($Q406,8)="Non-aero",ISERROR(MATCH($N406,Lge_NonAero!$B:$B,0))),1,0))</f>
        <v/>
      </c>
      <c r="C406" s="5" t="str">
        <f>IF($G406="","",IF(AND(LEFT($O406,3)="Wom",ISERROR(MATCH($N406,Lge_Women!$B:$B,0))),1,0))</f>
        <v/>
      </c>
      <c r="D406" s="2" t="str">
        <f>IF($G406="","",IF(AND(OR($O406="Vet",$O406="Woman Vet"),ISERROR(MATCH($N406,Lge_Vets!$B:$B,0))),1,0))</f>
        <v/>
      </c>
      <c r="E406" s="2" t="str">
        <f>IF($G406="","",IF(AND(OR($O406="Junior",$O406="Woman Junior",$O406="Youth",$O406="Woman Youth"),ISERROR(MATCH($N406,Lge_Junior!$B:$B,0))),1,0))</f>
        <v/>
      </c>
      <c r="F406" s="2" t="str">
        <f>IF($G406="","",IF(AND(LEFT($O406,3)="You",ISERROR(MATCH($N406,Lge_Youth!$B:$B,0))),1,0))</f>
        <v/>
      </c>
      <c r="G406" s="3"/>
      <c r="H406" s="3"/>
      <c r="I406" s="3"/>
      <c r="J406" s="3"/>
      <c r="K406" s="6"/>
      <c r="L406" s="4"/>
      <c r="M406" s="4"/>
      <c r="N406" s="8"/>
      <c r="O406" s="8"/>
      <c r="P406" s="9"/>
      <c r="Q406" s="8"/>
      <c r="R406" s="8"/>
      <c r="S406" s="9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10"/>
    </row>
    <row r="407" spans="1:39" x14ac:dyDescent="0.2">
      <c r="A407" s="2" t="str">
        <f>IF($G407="","",IF(ISERROR(MATCH($N407,Lge_Scratch!$B:$B,0)),1,0))</f>
        <v/>
      </c>
      <c r="B407" s="2" t="str">
        <f>IF($G407="","",IF(AND(LEFT($Q407,8)="Non-aero",ISERROR(MATCH($N407,Lge_NonAero!$B:$B,0))),1,0))</f>
        <v/>
      </c>
      <c r="C407" s="5" t="str">
        <f>IF($G407="","",IF(AND(LEFT($O407,3)="Wom",ISERROR(MATCH($N407,Lge_Women!$B:$B,0))),1,0))</f>
        <v/>
      </c>
      <c r="D407" s="2" t="str">
        <f>IF($G407="","",IF(AND(OR($O407="Vet",$O407="Woman Vet"),ISERROR(MATCH($N407,Lge_Vets!$B:$B,0))),1,0))</f>
        <v/>
      </c>
      <c r="E407" s="2" t="str">
        <f>IF($G407="","",IF(AND(OR($O407="Junior",$O407="Woman Junior",$O407="Youth",$O407="Woman Youth"),ISERROR(MATCH($N407,Lge_Junior!$B:$B,0))),1,0))</f>
        <v/>
      </c>
      <c r="F407" s="2" t="str">
        <f>IF($G407="","",IF(AND(LEFT($O407,3)="You",ISERROR(MATCH($N407,Lge_Youth!$B:$B,0))),1,0))</f>
        <v/>
      </c>
      <c r="G407" s="3"/>
      <c r="H407" s="3"/>
      <c r="I407" s="3"/>
      <c r="J407" s="3"/>
      <c r="K407" s="6"/>
      <c r="L407" s="4"/>
      <c r="M407" s="4"/>
      <c r="N407" s="8"/>
      <c r="O407" s="8"/>
      <c r="P407" s="9"/>
      <c r="Q407" s="8"/>
      <c r="R407" s="8"/>
      <c r="S407" s="9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10"/>
    </row>
    <row r="408" spans="1:39" x14ac:dyDescent="0.2">
      <c r="A408" s="2" t="str">
        <f>IF($G408="","",IF(ISERROR(MATCH($N408,Lge_Scratch!$B:$B,0)),1,0))</f>
        <v/>
      </c>
      <c r="B408" s="2" t="str">
        <f>IF($G408="","",IF(AND(LEFT($Q408,8)="Non-aero",ISERROR(MATCH($N408,Lge_NonAero!$B:$B,0))),1,0))</f>
        <v/>
      </c>
      <c r="C408" s="5" t="str">
        <f>IF($G408="","",IF(AND(LEFT($O408,3)="Wom",ISERROR(MATCH($N408,Lge_Women!$B:$B,0))),1,0))</f>
        <v/>
      </c>
      <c r="D408" s="2" t="str">
        <f>IF($G408="","",IF(AND(OR($O408="Vet",$O408="Woman Vet"),ISERROR(MATCH($N408,Lge_Vets!$B:$B,0))),1,0))</f>
        <v/>
      </c>
      <c r="E408" s="2" t="str">
        <f>IF($G408="","",IF(AND(OR($O408="Junior",$O408="Woman Junior",$O408="Youth",$O408="Woman Youth"),ISERROR(MATCH($N408,Lge_Junior!$B:$B,0))),1,0))</f>
        <v/>
      </c>
      <c r="F408" s="2" t="str">
        <f>IF($G408="","",IF(AND(LEFT($O408,3)="You",ISERROR(MATCH($N408,Lge_Youth!$B:$B,0))),1,0))</f>
        <v/>
      </c>
      <c r="G408" s="3"/>
      <c r="H408" s="3"/>
      <c r="I408" s="3"/>
      <c r="J408" s="3"/>
      <c r="K408" s="6"/>
      <c r="L408" s="4"/>
      <c r="M408" s="4"/>
      <c r="N408" s="8"/>
      <c r="O408" s="8"/>
      <c r="P408" s="9"/>
      <c r="Q408" s="8"/>
      <c r="R408" s="8"/>
      <c r="S408" s="9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10"/>
    </row>
    <row r="409" spans="1:39" x14ac:dyDescent="0.2">
      <c r="A409" s="2" t="str">
        <f>IF($G409="","",IF(ISERROR(MATCH($N409,Lge_Scratch!$B:$B,0)),1,0))</f>
        <v/>
      </c>
      <c r="B409" s="2" t="str">
        <f>IF($G409="","",IF(AND(LEFT($Q409,8)="Non-aero",ISERROR(MATCH($N409,Lge_NonAero!$B:$B,0))),1,0))</f>
        <v/>
      </c>
      <c r="C409" s="5" t="str">
        <f>IF($G409="","",IF(AND(LEFT($O409,3)="Wom",ISERROR(MATCH($N409,Lge_Women!$B:$B,0))),1,0))</f>
        <v/>
      </c>
      <c r="D409" s="2" t="str">
        <f>IF($G409="","",IF(AND(OR($O409="Vet",$O409="Woman Vet"),ISERROR(MATCH($N409,Lge_Vets!$B:$B,0))),1,0))</f>
        <v/>
      </c>
      <c r="E409" s="2" t="str">
        <f>IF($G409="","",IF(AND(OR($O409="Junior",$O409="Woman Junior",$O409="Youth",$O409="Woman Youth"),ISERROR(MATCH($N409,Lge_Junior!$B:$B,0))),1,0))</f>
        <v/>
      </c>
      <c r="F409" s="2" t="str">
        <f>IF($G409="","",IF(AND(LEFT($O409,3)="You",ISERROR(MATCH($N409,Lge_Youth!$B:$B,0))),1,0))</f>
        <v/>
      </c>
      <c r="G409" s="3"/>
      <c r="H409" s="3"/>
      <c r="I409" s="3"/>
      <c r="J409" s="3"/>
      <c r="K409" s="6"/>
      <c r="L409" s="4"/>
      <c r="M409" s="4"/>
      <c r="N409" s="8"/>
      <c r="O409" s="8"/>
      <c r="P409" s="9"/>
      <c r="Q409" s="8"/>
      <c r="R409" s="8"/>
      <c r="S409" s="9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10"/>
    </row>
    <row r="410" spans="1:39" x14ac:dyDescent="0.2">
      <c r="A410" s="2" t="str">
        <f>IF($G410="","",IF(ISERROR(MATCH($N410,Lge_Scratch!$B:$B,0)),1,0))</f>
        <v/>
      </c>
      <c r="B410" s="2" t="str">
        <f>IF($G410="","",IF(AND(LEFT($Q410,8)="Non-aero",ISERROR(MATCH($N410,Lge_NonAero!$B:$B,0))),1,0))</f>
        <v/>
      </c>
      <c r="C410" s="5" t="str">
        <f>IF($G410="","",IF(AND(LEFT($O410,3)="Wom",ISERROR(MATCH($N410,Lge_Women!$B:$B,0))),1,0))</f>
        <v/>
      </c>
      <c r="D410" s="2" t="str">
        <f>IF($G410="","",IF(AND(OR($O410="Vet",$O410="Woman Vet"),ISERROR(MATCH($N410,Lge_Vets!$B:$B,0))),1,0))</f>
        <v/>
      </c>
      <c r="E410" s="2" t="str">
        <f>IF($G410="","",IF(AND(OR($O410="Junior",$O410="Woman Junior",$O410="Youth",$O410="Woman Youth"),ISERROR(MATCH($N410,Lge_Junior!$B:$B,0))),1,0))</f>
        <v/>
      </c>
      <c r="F410" s="2" t="str">
        <f>IF($G410="","",IF(AND(LEFT($O410,3)="You",ISERROR(MATCH($N410,Lge_Youth!$B:$B,0))),1,0))</f>
        <v/>
      </c>
      <c r="G410" s="3"/>
      <c r="H410" s="3"/>
      <c r="I410" s="3"/>
      <c r="J410" s="3"/>
      <c r="K410" s="6"/>
      <c r="L410" s="4"/>
      <c r="M410" s="4"/>
      <c r="N410" s="8"/>
      <c r="O410" s="8"/>
      <c r="P410" s="9"/>
      <c r="Q410" s="8"/>
      <c r="R410" s="8"/>
      <c r="S410" s="9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10"/>
    </row>
    <row r="411" spans="1:39" x14ac:dyDescent="0.2">
      <c r="A411" s="2" t="str">
        <f>IF($G411="","",IF(ISERROR(MATCH($N411,Lge_Scratch!$B:$B,0)),1,0))</f>
        <v/>
      </c>
      <c r="B411" s="2" t="str">
        <f>IF($G411="","",IF(AND(LEFT($Q411,8)="Non-aero",ISERROR(MATCH($N411,Lge_NonAero!$B:$B,0))),1,0))</f>
        <v/>
      </c>
      <c r="C411" s="5" t="str">
        <f>IF($G411="","",IF(AND(LEFT($O411,3)="Wom",ISERROR(MATCH($N411,Lge_Women!$B:$B,0))),1,0))</f>
        <v/>
      </c>
      <c r="D411" s="2" t="str">
        <f>IF($G411="","",IF(AND(OR($O411="Vet",$O411="Woman Vet"),ISERROR(MATCH($N411,Lge_Vets!$B:$B,0))),1,0))</f>
        <v/>
      </c>
      <c r="E411" s="2" t="str">
        <f>IF($G411="","",IF(AND(OR($O411="Junior",$O411="Woman Junior",$O411="Youth",$O411="Woman Youth"),ISERROR(MATCH($N411,Lge_Junior!$B:$B,0))),1,0))</f>
        <v/>
      </c>
      <c r="F411" s="2" t="str">
        <f>IF($G411="","",IF(AND(LEFT($O411,3)="You",ISERROR(MATCH($N411,Lge_Youth!$B:$B,0))),1,0))</f>
        <v/>
      </c>
      <c r="G411" s="3"/>
      <c r="H411" s="3"/>
      <c r="I411" s="3"/>
      <c r="J411" s="3"/>
      <c r="K411" s="6"/>
      <c r="L411" s="4"/>
      <c r="M411" s="4"/>
      <c r="N411" s="8"/>
      <c r="O411" s="8"/>
      <c r="P411" s="9"/>
      <c r="Q411" s="8"/>
      <c r="R411" s="8"/>
      <c r="S411" s="9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10"/>
    </row>
    <row r="412" spans="1:39" x14ac:dyDescent="0.2">
      <c r="A412" s="2" t="str">
        <f>IF($G412="","",IF(ISERROR(MATCH($N412,Lge_Scratch!$B:$B,0)),1,0))</f>
        <v/>
      </c>
      <c r="B412" s="2" t="str">
        <f>IF($G412="","",IF(AND(LEFT($Q412,8)="Non-aero",ISERROR(MATCH($N412,Lge_NonAero!$B:$B,0))),1,0))</f>
        <v/>
      </c>
      <c r="C412" s="5" t="str">
        <f>IF($G412="","",IF(AND(LEFT($O412,3)="Wom",ISERROR(MATCH($N412,Lge_Women!$B:$B,0))),1,0))</f>
        <v/>
      </c>
      <c r="D412" s="2" t="str">
        <f>IF($G412="","",IF(AND(OR($O412="Vet",$O412="Woman Vet"),ISERROR(MATCH($N412,Lge_Vets!$B:$B,0))),1,0))</f>
        <v/>
      </c>
      <c r="E412" s="2" t="str">
        <f>IF($G412="","",IF(AND(OR($O412="Junior",$O412="Woman Junior",$O412="Youth",$O412="Woman Youth"),ISERROR(MATCH($N412,Lge_Junior!$B:$B,0))),1,0))</f>
        <v/>
      </c>
      <c r="F412" s="2" t="str">
        <f>IF($G412="","",IF(AND(LEFT($O412,3)="You",ISERROR(MATCH($N412,Lge_Youth!$B:$B,0))),1,0))</f>
        <v/>
      </c>
      <c r="G412" s="3"/>
      <c r="H412" s="3"/>
      <c r="I412" s="3"/>
      <c r="J412" s="3"/>
      <c r="K412" s="6"/>
      <c r="L412" s="4"/>
      <c r="M412" s="4"/>
      <c r="N412" s="8"/>
      <c r="O412" s="8"/>
      <c r="P412" s="9"/>
      <c r="Q412" s="8"/>
      <c r="R412" s="8"/>
      <c r="S412" s="9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10"/>
    </row>
    <row r="413" spans="1:39" x14ac:dyDescent="0.2">
      <c r="A413" s="2" t="str">
        <f>IF($G413="","",IF(ISERROR(MATCH($N413,Lge_Scratch!$B:$B,0)),1,0))</f>
        <v/>
      </c>
      <c r="B413" s="2" t="str">
        <f>IF($G413="","",IF(AND(LEFT($Q413,8)="Non-aero",ISERROR(MATCH($N413,Lge_NonAero!$B:$B,0))),1,0))</f>
        <v/>
      </c>
      <c r="C413" s="5" t="str">
        <f>IF($G413="","",IF(AND(LEFT($O413,3)="Wom",ISERROR(MATCH($N413,Lge_Women!$B:$B,0))),1,0))</f>
        <v/>
      </c>
      <c r="D413" s="2" t="str">
        <f>IF($G413="","",IF(AND(OR($O413="Vet",$O413="Woman Vet"),ISERROR(MATCH($N413,Lge_Vets!$B:$B,0))),1,0))</f>
        <v/>
      </c>
      <c r="E413" s="2" t="str">
        <f>IF($G413="","",IF(AND(OR($O413="Junior",$O413="Woman Junior",$O413="Youth",$O413="Woman Youth"),ISERROR(MATCH($N413,Lge_Junior!$B:$B,0))),1,0))</f>
        <v/>
      </c>
      <c r="F413" s="2" t="str">
        <f>IF($G413="","",IF(AND(LEFT($O413,3)="You",ISERROR(MATCH($N413,Lge_Youth!$B:$B,0))),1,0))</f>
        <v/>
      </c>
      <c r="G413" s="3"/>
      <c r="H413" s="3"/>
      <c r="I413" s="3"/>
      <c r="J413" s="3"/>
      <c r="K413" s="6"/>
      <c r="L413" s="4"/>
      <c r="M413" s="4"/>
      <c r="N413" s="8"/>
      <c r="O413" s="8"/>
      <c r="P413" s="9"/>
      <c r="Q413" s="8"/>
      <c r="R413" s="8"/>
      <c r="S413" s="9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10"/>
    </row>
    <row r="414" spans="1:39" x14ac:dyDescent="0.2">
      <c r="A414" s="2" t="str">
        <f>IF($G414="","",IF(ISERROR(MATCH($N414,Lge_Scratch!$B:$B,0)),1,0))</f>
        <v/>
      </c>
      <c r="B414" s="2" t="str">
        <f>IF($G414="","",IF(AND(LEFT($Q414,8)="Non-aero",ISERROR(MATCH($N414,Lge_NonAero!$B:$B,0))),1,0))</f>
        <v/>
      </c>
      <c r="C414" s="5" t="str">
        <f>IF($G414="","",IF(AND(LEFT($O414,3)="Wom",ISERROR(MATCH($N414,Lge_Women!$B:$B,0))),1,0))</f>
        <v/>
      </c>
      <c r="D414" s="2" t="str">
        <f>IF($G414="","",IF(AND(OR($O414="Vet",$O414="Woman Vet"),ISERROR(MATCH($N414,Lge_Vets!$B:$B,0))),1,0))</f>
        <v/>
      </c>
      <c r="E414" s="2" t="str">
        <f>IF($G414="","",IF(AND(OR($O414="Junior",$O414="Woman Junior",$O414="Youth",$O414="Woman Youth"),ISERROR(MATCH($N414,Lge_Junior!$B:$B,0))),1,0))</f>
        <v/>
      </c>
      <c r="F414" s="2" t="str">
        <f>IF($G414="","",IF(AND(LEFT($O414,3)="You",ISERROR(MATCH($N414,Lge_Youth!$B:$B,0))),1,0))</f>
        <v/>
      </c>
      <c r="G414" s="3"/>
      <c r="H414" s="3"/>
      <c r="I414" s="3"/>
      <c r="J414" s="3"/>
      <c r="K414" s="6"/>
      <c r="L414" s="4"/>
      <c r="M414" s="4"/>
      <c r="N414" s="8"/>
      <c r="O414" s="8"/>
      <c r="P414" s="9"/>
      <c r="Q414" s="8"/>
      <c r="R414" s="8"/>
      <c r="S414" s="9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10"/>
    </row>
    <row r="415" spans="1:39" x14ac:dyDescent="0.2">
      <c r="A415" s="2" t="str">
        <f>IF($G415="","",IF(ISERROR(MATCH($N415,Lge_Scratch!$B:$B,0)),1,0))</f>
        <v/>
      </c>
      <c r="B415" s="2" t="str">
        <f>IF($G415="","",IF(AND(LEFT($Q415,8)="Non-aero",ISERROR(MATCH($N415,Lge_NonAero!$B:$B,0))),1,0))</f>
        <v/>
      </c>
      <c r="C415" s="5" t="str">
        <f>IF($G415="","",IF(AND(LEFT($O415,3)="Wom",ISERROR(MATCH($N415,Lge_Women!$B:$B,0))),1,0))</f>
        <v/>
      </c>
      <c r="D415" s="2" t="str">
        <f>IF($G415="","",IF(AND(OR($O415="Vet",$O415="Woman Vet"),ISERROR(MATCH($N415,Lge_Vets!$B:$B,0))),1,0))</f>
        <v/>
      </c>
      <c r="E415" s="2" t="str">
        <f>IF($G415="","",IF(AND(OR($O415="Junior",$O415="Woman Junior",$O415="Youth",$O415="Woman Youth"),ISERROR(MATCH($N415,Lge_Junior!$B:$B,0))),1,0))</f>
        <v/>
      </c>
      <c r="F415" s="2" t="str">
        <f>IF($G415="","",IF(AND(LEFT($O415,3)="You",ISERROR(MATCH($N415,Lge_Youth!$B:$B,0))),1,0))</f>
        <v/>
      </c>
      <c r="G415" s="3"/>
      <c r="H415" s="3"/>
      <c r="I415" s="3"/>
      <c r="J415" s="3"/>
      <c r="K415" s="6"/>
      <c r="L415" s="4"/>
      <c r="M415" s="4"/>
      <c r="N415" s="8"/>
      <c r="O415" s="8"/>
      <c r="P415" s="9"/>
      <c r="Q415" s="8"/>
      <c r="R415" s="8"/>
      <c r="S415" s="9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10"/>
    </row>
    <row r="416" spans="1:39" x14ac:dyDescent="0.2">
      <c r="A416" s="2" t="str">
        <f>IF($G416="","",IF(ISERROR(MATCH($N416,Lge_Scratch!$B:$B,0)),1,0))</f>
        <v/>
      </c>
      <c r="B416" s="2" t="str">
        <f>IF($G416="","",IF(AND(LEFT($Q416,8)="Non-aero",ISERROR(MATCH($N416,Lge_NonAero!$B:$B,0))),1,0))</f>
        <v/>
      </c>
      <c r="C416" s="5" t="str">
        <f>IF($G416="","",IF(AND(LEFT($O416,3)="Wom",ISERROR(MATCH($N416,Lge_Women!$B:$B,0))),1,0))</f>
        <v/>
      </c>
      <c r="D416" s="2" t="str">
        <f>IF($G416="","",IF(AND(OR($O416="Vet",$O416="Woman Vet"),ISERROR(MATCH($N416,Lge_Vets!$B:$B,0))),1,0))</f>
        <v/>
      </c>
      <c r="E416" s="2" t="str">
        <f>IF($G416="","",IF(AND(OR($O416="Junior",$O416="Woman Junior",$O416="Youth",$O416="Woman Youth"),ISERROR(MATCH($N416,Lge_Junior!$B:$B,0))),1,0))</f>
        <v/>
      </c>
      <c r="F416" s="2" t="str">
        <f>IF($G416="","",IF(AND(LEFT($O416,3)="You",ISERROR(MATCH($N416,Lge_Youth!$B:$B,0))),1,0))</f>
        <v/>
      </c>
      <c r="G416" s="3"/>
      <c r="H416" s="3"/>
      <c r="I416" s="3"/>
      <c r="J416" s="3"/>
      <c r="K416" s="6"/>
      <c r="L416" s="4"/>
      <c r="M416" s="4"/>
      <c r="N416" s="8"/>
      <c r="O416" s="8"/>
      <c r="P416" s="9"/>
      <c r="Q416" s="8"/>
      <c r="R416" s="8"/>
      <c r="S416" s="9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10"/>
    </row>
    <row r="417" spans="1:39" x14ac:dyDescent="0.2">
      <c r="A417" s="2" t="str">
        <f>IF($G417="","",IF(ISERROR(MATCH($N417,Lge_Scratch!$B:$B,0)),1,0))</f>
        <v/>
      </c>
      <c r="B417" s="2" t="str">
        <f>IF($G417="","",IF(AND(LEFT($Q417,8)="Non-aero",ISERROR(MATCH($N417,Lge_NonAero!$B:$B,0))),1,0))</f>
        <v/>
      </c>
      <c r="C417" s="5" t="str">
        <f>IF($G417="","",IF(AND(LEFT($O417,3)="Wom",ISERROR(MATCH($N417,Lge_Women!$B:$B,0))),1,0))</f>
        <v/>
      </c>
      <c r="D417" s="2" t="str">
        <f>IF($G417="","",IF(AND(OR($O417="Vet",$O417="Woman Vet"),ISERROR(MATCH($N417,Lge_Vets!$B:$B,0))),1,0))</f>
        <v/>
      </c>
      <c r="E417" s="2" t="str">
        <f>IF($G417="","",IF(AND(OR($O417="Junior",$O417="Woman Junior",$O417="Youth",$O417="Woman Youth"),ISERROR(MATCH($N417,Lge_Junior!$B:$B,0))),1,0))</f>
        <v/>
      </c>
      <c r="F417" s="2" t="str">
        <f>IF($G417="","",IF(AND(LEFT($O417,3)="You",ISERROR(MATCH($N417,Lge_Youth!$B:$B,0))),1,0))</f>
        <v/>
      </c>
      <c r="G417" s="3"/>
      <c r="H417" s="3"/>
      <c r="I417" s="3"/>
      <c r="J417" s="3"/>
      <c r="K417" s="6"/>
      <c r="L417" s="4"/>
      <c r="M417" s="4"/>
      <c r="N417" s="8"/>
      <c r="O417" s="8"/>
      <c r="P417" s="9"/>
      <c r="Q417" s="8"/>
      <c r="R417" s="8"/>
      <c r="S417" s="9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10"/>
    </row>
    <row r="418" spans="1:39" x14ac:dyDescent="0.2">
      <c r="A418" s="2" t="str">
        <f>IF($G418="","",IF(ISERROR(MATCH($N418,Lge_Scratch!$B:$B,0)),1,0))</f>
        <v/>
      </c>
      <c r="B418" s="2" t="str">
        <f>IF($G418="","",IF(AND(LEFT($Q418,8)="Non-aero",ISERROR(MATCH($N418,Lge_NonAero!$B:$B,0))),1,0))</f>
        <v/>
      </c>
      <c r="C418" s="5" t="str">
        <f>IF($G418="","",IF(AND(LEFT($O418,3)="Wom",ISERROR(MATCH($N418,Lge_Women!$B:$B,0))),1,0))</f>
        <v/>
      </c>
      <c r="D418" s="2" t="str">
        <f>IF($G418="","",IF(AND(OR($O418="Vet",$O418="Woman Vet"),ISERROR(MATCH($N418,Lge_Vets!$B:$B,0))),1,0))</f>
        <v/>
      </c>
      <c r="E418" s="2" t="str">
        <f>IF($G418="","",IF(AND(OR($O418="Junior",$O418="Woman Junior",$O418="Youth",$O418="Woman Youth"),ISERROR(MATCH($N418,Lge_Junior!$B:$B,0))),1,0))</f>
        <v/>
      </c>
      <c r="F418" s="2" t="str">
        <f>IF($G418="","",IF(AND(LEFT($O418,3)="You",ISERROR(MATCH($N418,Lge_Youth!$B:$B,0))),1,0))</f>
        <v/>
      </c>
      <c r="G418" s="3"/>
      <c r="H418" s="3"/>
      <c r="I418" s="3"/>
      <c r="J418" s="3"/>
      <c r="K418" s="6"/>
      <c r="L418" s="4"/>
      <c r="M418" s="4"/>
      <c r="N418" s="8"/>
      <c r="O418" s="8"/>
      <c r="P418" s="9"/>
      <c r="Q418" s="8"/>
      <c r="R418" s="8"/>
      <c r="S418" s="9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10"/>
    </row>
    <row r="419" spans="1:39" x14ac:dyDescent="0.2">
      <c r="A419" s="2" t="str">
        <f>IF($G419="","",IF(ISERROR(MATCH($N419,Lge_Scratch!$B:$B,0)),1,0))</f>
        <v/>
      </c>
      <c r="B419" s="2" t="str">
        <f>IF($G419="","",IF(AND(LEFT($Q419,8)="Non-aero",ISERROR(MATCH($N419,Lge_NonAero!$B:$B,0))),1,0))</f>
        <v/>
      </c>
      <c r="C419" s="5" t="str">
        <f>IF($G419="","",IF(AND(LEFT($O419,3)="Wom",ISERROR(MATCH($N419,Lge_Women!$B:$B,0))),1,0))</f>
        <v/>
      </c>
      <c r="D419" s="2" t="str">
        <f>IF($G419="","",IF(AND(OR($O419="Vet",$O419="Woman Vet"),ISERROR(MATCH($N419,Lge_Vets!$B:$B,0))),1,0))</f>
        <v/>
      </c>
      <c r="E419" s="2" t="str">
        <f>IF($G419="","",IF(AND(OR($O419="Junior",$O419="Woman Junior",$O419="Youth",$O419="Woman Youth"),ISERROR(MATCH($N419,Lge_Junior!$B:$B,0))),1,0))</f>
        <v/>
      </c>
      <c r="F419" s="2" t="str">
        <f>IF($G419="","",IF(AND(LEFT($O419,3)="You",ISERROR(MATCH($N419,Lge_Youth!$B:$B,0))),1,0))</f>
        <v/>
      </c>
      <c r="G419" s="3"/>
      <c r="H419" s="3"/>
      <c r="I419" s="3"/>
      <c r="J419" s="3"/>
      <c r="K419" s="6"/>
      <c r="L419" s="4"/>
      <c r="M419" s="4"/>
      <c r="N419" s="8"/>
      <c r="O419" s="8"/>
      <c r="P419" s="9"/>
      <c r="Q419" s="8"/>
      <c r="R419" s="8"/>
      <c r="S419" s="9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10"/>
    </row>
    <row r="420" spans="1:39" x14ac:dyDescent="0.2">
      <c r="A420" s="2" t="str">
        <f>IF($G420="","",IF(ISERROR(MATCH($N420,Lge_Scratch!$B:$B,0)),1,0))</f>
        <v/>
      </c>
      <c r="B420" s="2" t="str">
        <f>IF($G420="","",IF(AND(LEFT($Q420,8)="Non-aero",ISERROR(MATCH($N420,Lge_NonAero!$B:$B,0))),1,0))</f>
        <v/>
      </c>
      <c r="C420" s="5" t="str">
        <f>IF($G420="","",IF(AND(LEFT($O420,3)="Wom",ISERROR(MATCH($N420,Lge_Women!$B:$B,0))),1,0))</f>
        <v/>
      </c>
      <c r="D420" s="2" t="str">
        <f>IF($G420="","",IF(AND(OR($O420="Vet",$O420="Woman Vet"),ISERROR(MATCH($N420,Lge_Vets!$B:$B,0))),1,0))</f>
        <v/>
      </c>
      <c r="E420" s="2" t="str">
        <f>IF($G420="","",IF(AND(OR($O420="Junior",$O420="Woman Junior",$O420="Youth",$O420="Woman Youth"),ISERROR(MATCH($N420,Lge_Junior!$B:$B,0))),1,0))</f>
        <v/>
      </c>
      <c r="F420" s="2" t="str">
        <f>IF($G420="","",IF(AND(LEFT($O420,3)="You",ISERROR(MATCH($N420,Lge_Youth!$B:$B,0))),1,0))</f>
        <v/>
      </c>
      <c r="G420" s="3"/>
      <c r="H420" s="3"/>
      <c r="I420" s="3"/>
      <c r="J420" s="3"/>
      <c r="K420" s="6"/>
      <c r="L420" s="4"/>
      <c r="M420" s="4"/>
      <c r="N420" s="8"/>
      <c r="O420" s="8"/>
      <c r="P420" s="9"/>
      <c r="Q420" s="8"/>
      <c r="R420" s="8"/>
      <c r="S420" s="9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10"/>
    </row>
    <row r="421" spans="1:39" x14ac:dyDescent="0.2">
      <c r="A421" s="2" t="str">
        <f>IF($G421="","",IF(ISERROR(MATCH($N421,Lge_Scratch!$B:$B,0)),1,0))</f>
        <v/>
      </c>
      <c r="B421" s="2" t="str">
        <f>IF($G421="","",IF(AND(LEFT($Q421,8)="Non-aero",ISERROR(MATCH($N421,Lge_NonAero!$B:$B,0))),1,0))</f>
        <v/>
      </c>
      <c r="C421" s="5" t="str">
        <f>IF($G421="","",IF(AND(LEFT($O421,3)="Wom",ISERROR(MATCH($N421,Lge_Women!$B:$B,0))),1,0))</f>
        <v/>
      </c>
      <c r="D421" s="2" t="str">
        <f>IF($G421="","",IF(AND(OR($O421="Vet",$O421="Woman Vet"),ISERROR(MATCH($N421,Lge_Vets!$B:$B,0))),1,0))</f>
        <v/>
      </c>
      <c r="E421" s="2" t="str">
        <f>IF($G421="","",IF(AND(OR($O421="Junior",$O421="Woman Junior",$O421="Youth",$O421="Woman Youth"),ISERROR(MATCH($N421,Lge_Junior!$B:$B,0))),1,0))</f>
        <v/>
      </c>
      <c r="F421" s="2" t="str">
        <f>IF($G421="","",IF(AND(LEFT($O421,3)="You",ISERROR(MATCH($N421,Lge_Youth!$B:$B,0))),1,0))</f>
        <v/>
      </c>
      <c r="G421" s="3"/>
      <c r="H421" s="3"/>
      <c r="I421" s="3"/>
      <c r="J421" s="3"/>
      <c r="K421" s="6"/>
      <c r="L421" s="4"/>
      <c r="M421" s="4"/>
      <c r="N421" s="8"/>
      <c r="O421" s="8"/>
      <c r="P421" s="9"/>
      <c r="Q421" s="8"/>
      <c r="R421" s="8"/>
      <c r="S421" s="9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10"/>
    </row>
    <row r="422" spans="1:39" x14ac:dyDescent="0.2">
      <c r="A422" s="2" t="str">
        <f>IF($G422="","",IF(ISERROR(MATCH($N422,Lge_Scratch!$B:$B,0)),1,0))</f>
        <v/>
      </c>
      <c r="B422" s="2" t="str">
        <f>IF($G422="","",IF(AND(LEFT($Q422,8)="Non-aero",ISERROR(MATCH($N422,Lge_NonAero!$B:$B,0))),1,0))</f>
        <v/>
      </c>
      <c r="C422" s="5" t="str">
        <f>IF($G422="","",IF(AND(LEFT($O422,3)="Wom",ISERROR(MATCH($N422,Lge_Women!$B:$B,0))),1,0))</f>
        <v/>
      </c>
      <c r="D422" s="2" t="str">
        <f>IF($G422="","",IF(AND(OR($O422="Vet",$O422="Woman Vet"),ISERROR(MATCH($N422,Lge_Vets!$B:$B,0))),1,0))</f>
        <v/>
      </c>
      <c r="E422" s="2" t="str">
        <f>IF($G422="","",IF(AND(OR($O422="Junior",$O422="Woman Junior",$O422="Youth",$O422="Woman Youth"),ISERROR(MATCH($N422,Lge_Junior!$B:$B,0))),1,0))</f>
        <v/>
      </c>
      <c r="F422" s="2" t="str">
        <f>IF($G422="","",IF(AND(LEFT($O422,3)="You",ISERROR(MATCH($N422,Lge_Youth!$B:$B,0))),1,0))</f>
        <v/>
      </c>
      <c r="G422" s="3"/>
      <c r="H422" s="3"/>
      <c r="I422" s="3"/>
      <c r="J422" s="3"/>
      <c r="K422" s="6"/>
      <c r="L422" s="4"/>
      <c r="M422" s="4"/>
      <c r="N422" s="8"/>
      <c r="O422" s="8"/>
      <c r="P422" s="9"/>
      <c r="Q422" s="8"/>
      <c r="R422" s="8"/>
      <c r="S422" s="9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10"/>
    </row>
    <row r="423" spans="1:39" x14ac:dyDescent="0.2">
      <c r="A423" s="2" t="str">
        <f>IF($G423="","",IF(ISERROR(MATCH($N423,Lge_Scratch!$B:$B,0)),1,0))</f>
        <v/>
      </c>
      <c r="B423" s="2" t="str">
        <f>IF($G423="","",IF(AND(LEFT($Q423,8)="Non-aero",ISERROR(MATCH($N423,Lge_NonAero!$B:$B,0))),1,0))</f>
        <v/>
      </c>
      <c r="C423" s="5" t="str">
        <f>IF($G423="","",IF(AND(LEFT($O423,3)="Wom",ISERROR(MATCH($N423,Lge_Women!$B:$B,0))),1,0))</f>
        <v/>
      </c>
      <c r="D423" s="2" t="str">
        <f>IF($G423="","",IF(AND(OR($O423="Vet",$O423="Woman Vet"),ISERROR(MATCH($N423,Lge_Vets!$B:$B,0))),1,0))</f>
        <v/>
      </c>
      <c r="E423" s="2" t="str">
        <f>IF($G423="","",IF(AND(OR($O423="Junior",$O423="Woman Junior",$O423="Youth",$O423="Woman Youth"),ISERROR(MATCH($N423,Lge_Junior!$B:$B,0))),1,0))</f>
        <v/>
      </c>
      <c r="F423" s="2" t="str">
        <f>IF($G423="","",IF(AND(LEFT($O423,3)="You",ISERROR(MATCH($N423,Lge_Youth!$B:$B,0))),1,0))</f>
        <v/>
      </c>
      <c r="G423" s="3"/>
      <c r="H423" s="3"/>
      <c r="I423" s="3"/>
      <c r="J423" s="3"/>
      <c r="K423" s="6"/>
      <c r="L423" s="4"/>
      <c r="M423" s="4"/>
      <c r="N423" s="8"/>
      <c r="O423" s="8"/>
      <c r="P423" s="9"/>
      <c r="Q423" s="8"/>
      <c r="R423" s="8"/>
      <c r="S423" s="9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10"/>
    </row>
    <row r="424" spans="1:39" x14ac:dyDescent="0.2">
      <c r="A424" s="2" t="str">
        <f>IF($G424="","",IF(ISERROR(MATCH($N424,Lge_Scratch!$B:$B,0)),1,0))</f>
        <v/>
      </c>
      <c r="B424" s="2" t="str">
        <f>IF($G424="","",IF(AND(LEFT($Q424,8)="Non-aero",ISERROR(MATCH($N424,Lge_NonAero!$B:$B,0))),1,0))</f>
        <v/>
      </c>
      <c r="C424" s="5" t="str">
        <f>IF($G424="","",IF(AND(LEFT($O424,3)="Wom",ISERROR(MATCH($N424,Lge_Women!$B:$B,0))),1,0))</f>
        <v/>
      </c>
      <c r="D424" s="2" t="str">
        <f>IF($G424="","",IF(AND(OR($O424="Vet",$O424="Woman Vet"),ISERROR(MATCH($N424,Lge_Vets!$B:$B,0))),1,0))</f>
        <v/>
      </c>
      <c r="E424" s="2" t="str">
        <f>IF($G424="","",IF(AND(OR($O424="Junior",$O424="Woman Junior",$O424="Youth",$O424="Woman Youth"),ISERROR(MATCH($N424,Lge_Junior!$B:$B,0))),1,0))</f>
        <v/>
      </c>
      <c r="F424" s="2" t="str">
        <f>IF($G424="","",IF(AND(LEFT($O424,3)="You",ISERROR(MATCH($N424,Lge_Youth!$B:$B,0))),1,0))</f>
        <v/>
      </c>
      <c r="G424" s="3"/>
      <c r="H424" s="3"/>
      <c r="I424" s="3"/>
      <c r="J424" s="3"/>
      <c r="K424" s="6"/>
      <c r="L424" s="4"/>
      <c r="M424" s="4"/>
      <c r="N424" s="8"/>
      <c r="O424" s="8"/>
      <c r="P424" s="9"/>
      <c r="Q424" s="8"/>
      <c r="R424" s="8"/>
      <c r="S424" s="9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10"/>
    </row>
    <row r="425" spans="1:39" x14ac:dyDescent="0.2">
      <c r="A425" s="2" t="str">
        <f>IF($G425="","",IF(ISERROR(MATCH($N425,Lge_Scratch!$B:$B,0)),1,0))</f>
        <v/>
      </c>
      <c r="B425" s="2" t="str">
        <f>IF($G425="","",IF(AND(LEFT($Q425,8)="Non-aero",ISERROR(MATCH($N425,Lge_NonAero!$B:$B,0))),1,0))</f>
        <v/>
      </c>
      <c r="C425" s="5" t="str">
        <f>IF($G425="","",IF(AND(LEFT($O425,3)="Wom",ISERROR(MATCH($N425,Lge_Women!$B:$B,0))),1,0))</f>
        <v/>
      </c>
      <c r="D425" s="2" t="str">
        <f>IF($G425="","",IF(AND(OR($O425="Vet",$O425="Woman Vet"),ISERROR(MATCH($N425,Lge_Vets!$B:$B,0))),1,0))</f>
        <v/>
      </c>
      <c r="E425" s="2" t="str">
        <f>IF($G425="","",IF(AND(OR($O425="Junior",$O425="Woman Junior",$O425="Youth",$O425="Woman Youth"),ISERROR(MATCH($N425,Lge_Junior!$B:$B,0))),1,0))</f>
        <v/>
      </c>
      <c r="F425" s="2" t="str">
        <f>IF($G425="","",IF(AND(LEFT($O425,3)="You",ISERROR(MATCH($N425,Lge_Youth!$B:$B,0))),1,0))</f>
        <v/>
      </c>
      <c r="G425" s="3"/>
      <c r="H425" s="3"/>
      <c r="I425" s="3"/>
      <c r="J425" s="3"/>
      <c r="K425" s="6"/>
      <c r="L425" s="4"/>
      <c r="M425" s="4"/>
      <c r="N425" s="8"/>
      <c r="O425" s="8"/>
      <c r="P425" s="9"/>
      <c r="Q425" s="8"/>
      <c r="R425" s="8"/>
      <c r="S425" s="9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10"/>
    </row>
    <row r="426" spans="1:39" x14ac:dyDescent="0.2">
      <c r="A426" s="2" t="str">
        <f>IF($G426="","",IF(ISERROR(MATCH($N426,Lge_Scratch!$B:$B,0)),1,0))</f>
        <v/>
      </c>
      <c r="B426" s="2" t="str">
        <f>IF($G426="","",IF(AND(LEFT($Q426,8)="Non-aero",ISERROR(MATCH($N426,Lge_NonAero!$B:$B,0))),1,0))</f>
        <v/>
      </c>
      <c r="C426" s="5" t="str">
        <f>IF($G426="","",IF(AND(LEFT($O426,3)="Wom",ISERROR(MATCH($N426,Lge_Women!$B:$B,0))),1,0))</f>
        <v/>
      </c>
      <c r="D426" s="2" t="str">
        <f>IF($G426="","",IF(AND(OR($O426="Vet",$O426="Woman Vet"),ISERROR(MATCH($N426,Lge_Vets!$B:$B,0))),1,0))</f>
        <v/>
      </c>
      <c r="E426" s="2" t="str">
        <f>IF($G426="","",IF(AND(OR($O426="Junior",$O426="Woman Junior",$O426="Youth",$O426="Woman Youth"),ISERROR(MATCH($N426,Lge_Junior!$B:$B,0))),1,0))</f>
        <v/>
      </c>
      <c r="F426" s="2" t="str">
        <f>IF($G426="","",IF(AND(LEFT($O426,3)="You",ISERROR(MATCH($N426,Lge_Youth!$B:$B,0))),1,0))</f>
        <v/>
      </c>
      <c r="G426" s="3"/>
      <c r="H426" s="3"/>
      <c r="I426" s="3"/>
      <c r="J426" s="3"/>
      <c r="K426" s="6"/>
      <c r="L426" s="4"/>
      <c r="M426" s="4"/>
      <c r="N426" s="8"/>
      <c r="O426" s="8"/>
      <c r="P426" s="9"/>
      <c r="Q426" s="8"/>
      <c r="R426" s="8"/>
      <c r="S426" s="9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10"/>
    </row>
    <row r="427" spans="1:39" x14ac:dyDescent="0.2">
      <c r="A427" s="2" t="str">
        <f>IF($G427="","",IF(ISERROR(MATCH($N427,Lge_Scratch!$B:$B,0)),1,0))</f>
        <v/>
      </c>
      <c r="B427" s="2" t="str">
        <f>IF($G427="","",IF(AND(LEFT($Q427,8)="Non-aero",ISERROR(MATCH($N427,Lge_NonAero!$B:$B,0))),1,0))</f>
        <v/>
      </c>
      <c r="C427" s="5" t="str">
        <f>IF($G427="","",IF(AND(LEFT($O427,3)="Wom",ISERROR(MATCH($N427,Lge_Women!$B:$B,0))),1,0))</f>
        <v/>
      </c>
      <c r="D427" s="2" t="str">
        <f>IF($G427="","",IF(AND(OR($O427="Vet",$O427="Woman Vet"),ISERROR(MATCH($N427,Lge_Vets!$B:$B,0))),1,0))</f>
        <v/>
      </c>
      <c r="E427" s="2" t="str">
        <f>IF($G427="","",IF(AND(OR($O427="Junior",$O427="Woman Junior",$O427="Youth",$O427="Woman Youth"),ISERROR(MATCH($N427,Lge_Junior!$B:$B,0))),1,0))</f>
        <v/>
      </c>
      <c r="F427" s="2" t="str">
        <f>IF($G427="","",IF(AND(LEFT($O427,3)="You",ISERROR(MATCH($N427,Lge_Youth!$B:$B,0))),1,0))</f>
        <v/>
      </c>
      <c r="G427" s="3"/>
      <c r="H427" s="3"/>
      <c r="I427" s="3"/>
      <c r="J427" s="3"/>
      <c r="K427" s="6"/>
      <c r="L427" s="4"/>
      <c r="M427" s="4"/>
      <c r="N427" s="8"/>
      <c r="O427" s="8"/>
      <c r="P427" s="9"/>
      <c r="Q427" s="8"/>
      <c r="R427" s="8"/>
      <c r="S427" s="9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10"/>
    </row>
    <row r="428" spans="1:39" x14ac:dyDescent="0.2">
      <c r="A428" s="2" t="str">
        <f>IF($G428="","",IF(ISERROR(MATCH($N428,Lge_Scratch!$B:$B,0)),1,0))</f>
        <v/>
      </c>
      <c r="B428" s="2" t="str">
        <f>IF($G428="","",IF(AND(LEFT($Q428,8)="Non-aero",ISERROR(MATCH($N428,Lge_NonAero!$B:$B,0))),1,0))</f>
        <v/>
      </c>
      <c r="C428" s="5" t="str">
        <f>IF($G428="","",IF(AND(LEFT($O428,3)="Wom",ISERROR(MATCH($N428,Lge_Women!$B:$B,0))),1,0))</f>
        <v/>
      </c>
      <c r="D428" s="2" t="str">
        <f>IF($G428="","",IF(AND(OR($O428="Vet",$O428="Woman Vet"),ISERROR(MATCH($N428,Lge_Vets!$B:$B,0))),1,0))</f>
        <v/>
      </c>
      <c r="E428" s="2" t="str">
        <f>IF($G428="","",IF(AND(OR($O428="Junior",$O428="Woman Junior",$O428="Youth",$O428="Woman Youth"),ISERROR(MATCH($N428,Lge_Junior!$B:$B,0))),1,0))</f>
        <v/>
      </c>
      <c r="F428" s="2" t="str">
        <f>IF($G428="","",IF(AND(LEFT($O428,3)="You",ISERROR(MATCH($N428,Lge_Youth!$B:$B,0))),1,0))</f>
        <v/>
      </c>
      <c r="G428" s="3"/>
      <c r="H428" s="3"/>
      <c r="I428" s="3"/>
      <c r="J428" s="3"/>
      <c r="K428" s="6"/>
      <c r="L428" s="4"/>
      <c r="M428" s="4"/>
      <c r="N428" s="8"/>
      <c r="O428" s="8"/>
      <c r="P428" s="9"/>
      <c r="Q428" s="8"/>
      <c r="R428" s="8"/>
      <c r="S428" s="9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10"/>
    </row>
    <row r="429" spans="1:39" x14ac:dyDescent="0.2">
      <c r="A429" s="2" t="str">
        <f>IF($G429="","",IF(ISERROR(MATCH($N429,Lge_Scratch!$B:$B,0)),1,0))</f>
        <v/>
      </c>
      <c r="B429" s="2" t="str">
        <f>IF($G429="","",IF(AND(LEFT($Q429,8)="Non-aero",ISERROR(MATCH($N429,Lge_NonAero!$B:$B,0))),1,0))</f>
        <v/>
      </c>
      <c r="C429" s="5" t="str">
        <f>IF($G429="","",IF(AND(LEFT($O429,3)="Wom",ISERROR(MATCH($N429,Lge_Women!$B:$B,0))),1,0))</f>
        <v/>
      </c>
      <c r="D429" s="2" t="str">
        <f>IF($G429="","",IF(AND(OR($O429="Vet",$O429="Woman Vet"),ISERROR(MATCH($N429,Lge_Vets!$B:$B,0))),1,0))</f>
        <v/>
      </c>
      <c r="E429" s="2" t="str">
        <f>IF($G429="","",IF(AND(OR($O429="Junior",$O429="Woman Junior",$O429="Youth",$O429="Woman Youth"),ISERROR(MATCH($N429,Lge_Junior!$B:$B,0))),1,0))</f>
        <v/>
      </c>
      <c r="F429" s="2" t="str">
        <f>IF($G429="","",IF(AND(LEFT($O429,3)="You",ISERROR(MATCH($N429,Lge_Youth!$B:$B,0))),1,0))</f>
        <v/>
      </c>
      <c r="G429" s="3"/>
      <c r="H429" s="3"/>
      <c r="I429" s="3"/>
      <c r="J429" s="3"/>
      <c r="K429" s="6"/>
      <c r="L429" s="4"/>
      <c r="M429" s="4"/>
      <c r="N429" s="8"/>
      <c r="O429" s="8"/>
      <c r="P429" s="9"/>
      <c r="Q429" s="8"/>
      <c r="R429" s="8"/>
      <c r="S429" s="9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10"/>
    </row>
    <row r="430" spans="1:39" x14ac:dyDescent="0.2">
      <c r="A430" s="2" t="str">
        <f>IF($G430="","",IF(ISERROR(MATCH($N430,Lge_Scratch!$B:$B,0)),1,0))</f>
        <v/>
      </c>
      <c r="B430" s="2" t="str">
        <f>IF($G430="","",IF(AND(LEFT($Q430,8)="Non-aero",ISERROR(MATCH($N430,Lge_NonAero!$B:$B,0))),1,0))</f>
        <v/>
      </c>
      <c r="C430" s="5" t="str">
        <f>IF($G430="","",IF(AND(LEFT($O430,3)="Wom",ISERROR(MATCH($N430,Lge_Women!$B:$B,0))),1,0))</f>
        <v/>
      </c>
      <c r="D430" s="2" t="str">
        <f>IF($G430="","",IF(AND(OR($O430="Vet",$O430="Woman Vet"),ISERROR(MATCH($N430,Lge_Vets!$B:$B,0))),1,0))</f>
        <v/>
      </c>
      <c r="E430" s="2" t="str">
        <f>IF($G430="","",IF(AND(OR($O430="Junior",$O430="Woman Junior",$O430="Youth",$O430="Woman Youth"),ISERROR(MATCH($N430,Lge_Junior!$B:$B,0))),1,0))</f>
        <v/>
      </c>
      <c r="F430" s="2" t="str">
        <f>IF($G430="","",IF(AND(LEFT($O430,3)="You",ISERROR(MATCH($N430,Lge_Youth!$B:$B,0))),1,0))</f>
        <v/>
      </c>
      <c r="G430" s="3"/>
      <c r="H430" s="3"/>
      <c r="I430" s="3"/>
      <c r="J430" s="3"/>
      <c r="K430" s="6"/>
      <c r="L430" s="4"/>
      <c r="M430" s="4"/>
      <c r="N430" s="8"/>
      <c r="O430" s="8"/>
      <c r="P430" s="9"/>
      <c r="Q430" s="8"/>
      <c r="R430" s="8"/>
      <c r="S430" s="9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10"/>
    </row>
    <row r="431" spans="1:39" x14ac:dyDescent="0.2">
      <c r="A431" s="2" t="str">
        <f>IF($G431="","",IF(ISERROR(MATCH($N431,Lge_Scratch!$B:$B,0)),1,0))</f>
        <v/>
      </c>
      <c r="B431" s="2" t="str">
        <f>IF($G431="","",IF(AND(LEFT($Q431,8)="Non-aero",ISERROR(MATCH($N431,Lge_NonAero!$B:$B,0))),1,0))</f>
        <v/>
      </c>
      <c r="C431" s="5" t="str">
        <f>IF($G431="","",IF(AND(LEFT($O431,3)="Wom",ISERROR(MATCH($N431,Lge_Women!$B:$B,0))),1,0))</f>
        <v/>
      </c>
      <c r="D431" s="2" t="str">
        <f>IF($G431="","",IF(AND(OR($O431="Vet",$O431="Woman Vet"),ISERROR(MATCH($N431,Lge_Vets!$B:$B,0))),1,0))</f>
        <v/>
      </c>
      <c r="E431" s="2" t="str">
        <f>IF($G431="","",IF(AND(OR($O431="Junior",$O431="Woman Junior",$O431="Youth",$O431="Woman Youth"),ISERROR(MATCH($N431,Lge_Junior!$B:$B,0))),1,0))</f>
        <v/>
      </c>
      <c r="F431" s="2" t="str">
        <f>IF($G431="","",IF(AND(LEFT($O431,3)="You",ISERROR(MATCH($N431,Lge_Youth!$B:$B,0))),1,0))</f>
        <v/>
      </c>
      <c r="G431" s="3"/>
      <c r="H431" s="3"/>
      <c r="I431" s="3"/>
      <c r="J431" s="3"/>
      <c r="K431" s="6"/>
      <c r="L431" s="4"/>
      <c r="M431" s="4"/>
      <c r="N431" s="8"/>
      <c r="O431" s="8"/>
      <c r="P431" s="9"/>
      <c r="Q431" s="8"/>
      <c r="R431" s="8"/>
      <c r="S431" s="9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10"/>
    </row>
    <row r="432" spans="1:39" x14ac:dyDescent="0.2">
      <c r="A432" s="2" t="str">
        <f>IF($G432="","",IF(ISERROR(MATCH($N432,Lge_Scratch!$B:$B,0)),1,0))</f>
        <v/>
      </c>
      <c r="B432" s="2" t="str">
        <f>IF($G432="","",IF(AND(LEFT($Q432,8)="Non-aero",ISERROR(MATCH($N432,Lge_NonAero!$B:$B,0))),1,0))</f>
        <v/>
      </c>
      <c r="C432" s="5" t="str">
        <f>IF($G432="","",IF(AND(LEFT($O432,3)="Wom",ISERROR(MATCH($N432,Lge_Women!$B:$B,0))),1,0))</f>
        <v/>
      </c>
      <c r="D432" s="2" t="str">
        <f>IF($G432="","",IF(AND(OR($O432="Vet",$O432="Woman Vet"),ISERROR(MATCH($N432,Lge_Vets!$B:$B,0))),1,0))</f>
        <v/>
      </c>
      <c r="E432" s="2" t="str">
        <f>IF($G432="","",IF(AND(OR($O432="Junior",$O432="Woman Junior",$O432="Youth",$O432="Woman Youth"),ISERROR(MATCH($N432,Lge_Junior!$B:$B,0))),1,0))</f>
        <v/>
      </c>
      <c r="F432" s="2" t="str">
        <f>IF($G432="","",IF(AND(LEFT($O432,3)="You",ISERROR(MATCH($N432,Lge_Youth!$B:$B,0))),1,0))</f>
        <v/>
      </c>
      <c r="G432" s="3"/>
      <c r="H432" s="3"/>
      <c r="I432" s="3"/>
      <c r="J432" s="3"/>
      <c r="K432" s="6"/>
      <c r="L432" s="4"/>
      <c r="M432" s="4"/>
      <c r="N432" s="8"/>
      <c r="O432" s="8"/>
      <c r="P432" s="9"/>
      <c r="Q432" s="8"/>
      <c r="R432" s="8"/>
      <c r="S432" s="9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10"/>
    </row>
    <row r="433" spans="1:39" x14ac:dyDescent="0.2">
      <c r="A433" s="2" t="str">
        <f>IF($G433="","",IF(ISERROR(MATCH($N433,Lge_Scratch!$B:$B,0)),1,0))</f>
        <v/>
      </c>
      <c r="B433" s="2" t="str">
        <f>IF($G433="","",IF(AND(LEFT($Q433,8)="Non-aero",ISERROR(MATCH($N433,Lge_NonAero!$B:$B,0))),1,0))</f>
        <v/>
      </c>
      <c r="C433" s="5" t="str">
        <f>IF($G433="","",IF(AND(LEFT($O433,3)="Wom",ISERROR(MATCH($N433,Lge_Women!$B:$B,0))),1,0))</f>
        <v/>
      </c>
      <c r="D433" s="2" t="str">
        <f>IF($G433="","",IF(AND(OR($O433="Vet",$O433="Woman Vet"),ISERROR(MATCH($N433,Lge_Vets!$B:$B,0))),1,0))</f>
        <v/>
      </c>
      <c r="E433" s="2" t="str">
        <f>IF($G433="","",IF(AND(OR($O433="Junior",$O433="Woman Junior",$O433="Youth",$O433="Woman Youth"),ISERROR(MATCH($N433,Lge_Junior!$B:$B,0))),1,0))</f>
        <v/>
      </c>
      <c r="F433" s="2" t="str">
        <f>IF($G433="","",IF(AND(LEFT($O433,3)="You",ISERROR(MATCH($N433,Lge_Youth!$B:$B,0))),1,0))</f>
        <v/>
      </c>
      <c r="G433" s="3"/>
      <c r="H433" s="3"/>
      <c r="I433" s="3"/>
      <c r="J433" s="3"/>
      <c r="K433" s="6"/>
      <c r="L433" s="4"/>
      <c r="M433" s="4"/>
      <c r="N433" s="8"/>
      <c r="O433" s="8"/>
      <c r="P433" s="9"/>
      <c r="Q433" s="8"/>
      <c r="R433" s="8"/>
      <c r="S433" s="9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10"/>
    </row>
    <row r="434" spans="1:39" x14ac:dyDescent="0.2">
      <c r="A434" s="2" t="str">
        <f>IF($G434="","",IF(ISERROR(MATCH($N434,Lge_Scratch!$B:$B,0)),1,0))</f>
        <v/>
      </c>
      <c r="B434" s="2" t="str">
        <f>IF($G434="","",IF(AND(LEFT($Q434,8)="Non-aero",ISERROR(MATCH($N434,Lge_NonAero!$B:$B,0))),1,0))</f>
        <v/>
      </c>
      <c r="C434" s="5" t="str">
        <f>IF($G434="","",IF(AND(LEFT($O434,3)="Wom",ISERROR(MATCH($N434,Lge_Women!$B:$B,0))),1,0))</f>
        <v/>
      </c>
      <c r="D434" s="2" t="str">
        <f>IF($G434="","",IF(AND(OR($O434="Vet",$O434="Woman Vet"),ISERROR(MATCH($N434,Lge_Vets!$B:$B,0))),1,0))</f>
        <v/>
      </c>
      <c r="E434" s="2" t="str">
        <f>IF($G434="","",IF(AND(OR($O434="Junior",$O434="Woman Junior",$O434="Youth",$O434="Woman Youth"),ISERROR(MATCH($N434,Lge_Junior!$B:$B,0))),1,0))</f>
        <v/>
      </c>
      <c r="F434" s="2" t="str">
        <f>IF($G434="","",IF(AND(LEFT($O434,3)="You",ISERROR(MATCH($N434,Lge_Youth!$B:$B,0))),1,0))</f>
        <v/>
      </c>
      <c r="G434" s="3"/>
      <c r="H434" s="3"/>
      <c r="I434" s="3"/>
      <c r="J434" s="3"/>
      <c r="K434" s="6"/>
      <c r="L434" s="4"/>
      <c r="M434" s="4"/>
      <c r="N434" s="8"/>
      <c r="O434" s="8"/>
      <c r="P434" s="9"/>
      <c r="Q434" s="8"/>
      <c r="R434" s="8"/>
      <c r="S434" s="9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10"/>
    </row>
    <row r="435" spans="1:39" x14ac:dyDescent="0.2">
      <c r="A435" s="2" t="str">
        <f>IF($G435="","",IF(ISERROR(MATCH($N435,Lge_Scratch!$B:$B,0)),1,0))</f>
        <v/>
      </c>
      <c r="B435" s="2" t="str">
        <f>IF($G435="","",IF(AND(LEFT($Q435,8)="Non-aero",ISERROR(MATCH($N435,Lge_NonAero!$B:$B,0))),1,0))</f>
        <v/>
      </c>
      <c r="C435" s="5" t="str">
        <f>IF($G435="","",IF(AND(LEFT($O435,3)="Wom",ISERROR(MATCH($N435,Lge_Women!$B:$B,0))),1,0))</f>
        <v/>
      </c>
      <c r="D435" s="2" t="str">
        <f>IF($G435="","",IF(AND(OR($O435="Vet",$O435="Woman Vet"),ISERROR(MATCH($N435,Lge_Vets!$B:$B,0))),1,0))</f>
        <v/>
      </c>
      <c r="E435" s="2" t="str">
        <f>IF($G435="","",IF(AND(OR($O435="Junior",$O435="Woman Junior",$O435="Youth",$O435="Woman Youth"),ISERROR(MATCH($N435,Lge_Junior!$B:$B,0))),1,0))</f>
        <v/>
      </c>
      <c r="F435" s="2" t="str">
        <f>IF($G435="","",IF(AND(LEFT($O435,3)="You",ISERROR(MATCH($N435,Lge_Youth!$B:$B,0))),1,0))</f>
        <v/>
      </c>
      <c r="G435" s="3"/>
      <c r="H435" s="3"/>
      <c r="I435" s="3"/>
      <c r="J435" s="3"/>
      <c r="K435" s="6"/>
      <c r="L435" s="4"/>
      <c r="M435" s="4"/>
      <c r="N435" s="8"/>
      <c r="O435" s="8"/>
      <c r="P435" s="9"/>
      <c r="Q435" s="8"/>
      <c r="R435" s="8"/>
      <c r="S435" s="9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10"/>
    </row>
    <row r="436" spans="1:39" x14ac:dyDescent="0.2">
      <c r="A436" s="2" t="str">
        <f>IF($G436="","",IF(ISERROR(MATCH($N436,Lge_Scratch!$B:$B,0)),1,0))</f>
        <v/>
      </c>
      <c r="B436" s="2" t="str">
        <f>IF($G436="","",IF(AND(LEFT($Q436,8)="Non-aero",ISERROR(MATCH($N436,Lge_NonAero!$B:$B,0))),1,0))</f>
        <v/>
      </c>
      <c r="C436" s="5" t="str">
        <f>IF($G436="","",IF(AND(LEFT($O436,3)="Wom",ISERROR(MATCH($N436,Lge_Women!$B:$B,0))),1,0))</f>
        <v/>
      </c>
      <c r="D436" s="2" t="str">
        <f>IF($G436="","",IF(AND(OR($O436="Vet",$O436="Woman Vet"),ISERROR(MATCH($N436,Lge_Vets!$B:$B,0))),1,0))</f>
        <v/>
      </c>
      <c r="E436" s="2" t="str">
        <f>IF($G436="","",IF(AND(OR($O436="Junior",$O436="Woman Junior",$O436="Youth",$O436="Woman Youth"),ISERROR(MATCH($N436,Lge_Junior!$B:$B,0))),1,0))</f>
        <v/>
      </c>
      <c r="F436" s="2" t="str">
        <f>IF($G436="","",IF(AND(LEFT($O436,3)="You",ISERROR(MATCH($N436,Lge_Youth!$B:$B,0))),1,0))</f>
        <v/>
      </c>
      <c r="G436" s="3"/>
      <c r="H436" s="3"/>
      <c r="I436" s="3"/>
      <c r="J436" s="3"/>
      <c r="K436" s="6"/>
      <c r="L436" s="4"/>
      <c r="M436" s="4"/>
      <c r="N436" s="8"/>
      <c r="O436" s="8"/>
      <c r="P436" s="9"/>
      <c r="Q436" s="8"/>
      <c r="R436" s="8"/>
      <c r="S436" s="9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10"/>
    </row>
    <row r="437" spans="1:39" x14ac:dyDescent="0.2">
      <c r="A437" s="2" t="str">
        <f>IF($G437="","",IF(ISERROR(MATCH($N437,Lge_Scratch!$B:$B,0)),1,0))</f>
        <v/>
      </c>
      <c r="B437" s="2" t="str">
        <f>IF($G437="","",IF(AND(LEFT($Q437,8)="Non-aero",ISERROR(MATCH($N437,Lge_NonAero!$B:$B,0))),1,0))</f>
        <v/>
      </c>
      <c r="C437" s="5" t="str">
        <f>IF($G437="","",IF(AND(LEFT($O437,3)="Wom",ISERROR(MATCH($N437,Lge_Women!$B:$B,0))),1,0))</f>
        <v/>
      </c>
      <c r="D437" s="2" t="str">
        <f>IF($G437="","",IF(AND(OR($O437="Vet",$O437="Woman Vet"),ISERROR(MATCH($N437,Lge_Vets!$B:$B,0))),1,0))</f>
        <v/>
      </c>
      <c r="E437" s="2" t="str">
        <f>IF($G437="","",IF(AND(OR($O437="Junior",$O437="Woman Junior",$O437="Youth",$O437="Woman Youth"),ISERROR(MATCH($N437,Lge_Junior!$B:$B,0))),1,0))</f>
        <v/>
      </c>
      <c r="F437" s="2" t="str">
        <f>IF($G437="","",IF(AND(LEFT($O437,3)="You",ISERROR(MATCH($N437,Lge_Youth!$B:$B,0))),1,0))</f>
        <v/>
      </c>
      <c r="G437" s="3"/>
      <c r="H437" s="3"/>
      <c r="I437" s="3"/>
      <c r="J437" s="3"/>
      <c r="K437" s="6"/>
      <c r="L437" s="4"/>
      <c r="M437" s="4"/>
      <c r="N437" s="8"/>
      <c r="O437" s="8"/>
      <c r="P437" s="9"/>
      <c r="Q437" s="8"/>
      <c r="R437" s="8"/>
      <c r="S437" s="9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10"/>
    </row>
    <row r="438" spans="1:39" x14ac:dyDescent="0.2">
      <c r="A438" s="2" t="str">
        <f>IF($G438="","",IF(ISERROR(MATCH($N438,Lge_Scratch!$B:$B,0)),1,0))</f>
        <v/>
      </c>
      <c r="B438" s="2" t="str">
        <f>IF($G438="","",IF(AND(LEFT($Q438,8)="Non-aero",ISERROR(MATCH($N438,Lge_NonAero!$B:$B,0))),1,0))</f>
        <v/>
      </c>
      <c r="C438" s="5" t="str">
        <f>IF($G438="","",IF(AND(LEFT($O438,3)="Wom",ISERROR(MATCH($N438,Lge_Women!$B:$B,0))),1,0))</f>
        <v/>
      </c>
      <c r="D438" s="2" t="str">
        <f>IF($G438="","",IF(AND(OR($O438="Vet",$O438="Woman Vet"),ISERROR(MATCH($N438,Lge_Vets!$B:$B,0))),1,0))</f>
        <v/>
      </c>
      <c r="E438" s="2" t="str">
        <f>IF($G438="","",IF(AND(OR($O438="Junior",$O438="Woman Junior",$O438="Youth",$O438="Woman Youth"),ISERROR(MATCH($N438,Lge_Junior!$B:$B,0))),1,0))</f>
        <v/>
      </c>
      <c r="F438" s="2" t="str">
        <f>IF($G438="","",IF(AND(LEFT($O438,3)="You",ISERROR(MATCH($N438,Lge_Youth!$B:$B,0))),1,0))</f>
        <v/>
      </c>
      <c r="G438" s="3"/>
      <c r="H438" s="3"/>
      <c r="I438" s="3"/>
      <c r="J438" s="3"/>
      <c r="K438" s="6"/>
      <c r="L438" s="4"/>
      <c r="M438" s="4"/>
      <c r="N438" s="8"/>
      <c r="O438" s="8"/>
      <c r="P438" s="9"/>
      <c r="Q438" s="8"/>
      <c r="R438" s="8"/>
      <c r="S438" s="9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10"/>
    </row>
    <row r="439" spans="1:39" x14ac:dyDescent="0.2">
      <c r="A439" s="2" t="str">
        <f>IF($G439="","",IF(ISERROR(MATCH($N439,Lge_Scratch!$B:$B,0)),1,0))</f>
        <v/>
      </c>
      <c r="B439" s="2" t="str">
        <f>IF($G439="","",IF(AND(LEFT($Q439,8)="Non-aero",ISERROR(MATCH($N439,Lge_NonAero!$B:$B,0))),1,0))</f>
        <v/>
      </c>
      <c r="C439" s="5" t="str">
        <f>IF($G439="","",IF(AND(LEFT($O439,3)="Wom",ISERROR(MATCH($N439,Lge_Women!$B:$B,0))),1,0))</f>
        <v/>
      </c>
      <c r="D439" s="2" t="str">
        <f>IF($G439="","",IF(AND(OR($O439="Vet",$O439="Woman Vet"),ISERROR(MATCH($N439,Lge_Vets!$B:$B,0))),1,0))</f>
        <v/>
      </c>
      <c r="E439" s="2" t="str">
        <f>IF($G439="","",IF(AND(OR($O439="Junior",$O439="Woman Junior",$O439="Youth",$O439="Woman Youth"),ISERROR(MATCH($N439,Lge_Junior!$B:$B,0))),1,0))</f>
        <v/>
      </c>
      <c r="F439" s="2" t="str">
        <f>IF($G439="","",IF(AND(LEFT($O439,3)="You",ISERROR(MATCH($N439,Lge_Youth!$B:$B,0))),1,0))</f>
        <v/>
      </c>
      <c r="G439" s="3"/>
      <c r="H439" s="3"/>
      <c r="I439" s="3"/>
      <c r="J439" s="3"/>
      <c r="K439" s="6"/>
      <c r="L439" s="4"/>
      <c r="M439" s="4"/>
      <c r="N439" s="8"/>
      <c r="O439" s="8"/>
      <c r="P439" s="9"/>
      <c r="Q439" s="8"/>
      <c r="R439" s="8"/>
      <c r="S439" s="9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10"/>
    </row>
    <row r="440" spans="1:39" x14ac:dyDescent="0.2">
      <c r="A440" s="2" t="str">
        <f>IF($G440="","",IF(ISERROR(MATCH($N440,Lge_Scratch!$B:$B,0)),1,0))</f>
        <v/>
      </c>
      <c r="B440" s="2" t="str">
        <f>IF($G440="","",IF(AND(LEFT($Q440,8)="Non-aero",ISERROR(MATCH($N440,Lge_NonAero!$B:$B,0))),1,0))</f>
        <v/>
      </c>
      <c r="C440" s="5" t="str">
        <f>IF($G440="","",IF(AND(LEFT($O440,3)="Wom",ISERROR(MATCH($N440,Lge_Women!$B:$B,0))),1,0))</f>
        <v/>
      </c>
      <c r="D440" s="2" t="str">
        <f>IF($G440="","",IF(AND(OR($O440="Vet",$O440="Woman Vet"),ISERROR(MATCH($N440,Lge_Vets!$B:$B,0))),1,0))</f>
        <v/>
      </c>
      <c r="E440" s="2" t="str">
        <f>IF($G440="","",IF(AND(OR($O440="Junior",$O440="Woman Junior",$O440="Youth",$O440="Woman Youth"),ISERROR(MATCH($N440,Lge_Junior!$B:$B,0))),1,0))</f>
        <v/>
      </c>
      <c r="F440" s="2" t="str">
        <f>IF($G440="","",IF(AND(LEFT($O440,3)="You",ISERROR(MATCH($N440,Lge_Youth!$B:$B,0))),1,0))</f>
        <v/>
      </c>
      <c r="G440" s="3"/>
      <c r="H440" s="3"/>
      <c r="I440" s="3"/>
      <c r="J440" s="3"/>
      <c r="K440" s="6"/>
      <c r="L440" s="4"/>
      <c r="M440" s="4"/>
      <c r="N440" s="8"/>
      <c r="O440" s="8"/>
      <c r="P440" s="9"/>
      <c r="Q440" s="8"/>
      <c r="R440" s="8"/>
      <c r="S440" s="9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10"/>
    </row>
    <row r="441" spans="1:39" x14ac:dyDescent="0.2">
      <c r="A441" s="2" t="str">
        <f>IF($G441="","",IF(ISERROR(MATCH($N441,Lge_Scratch!$B:$B,0)),1,0))</f>
        <v/>
      </c>
      <c r="B441" s="2" t="str">
        <f>IF($G441="","",IF(AND(LEFT($Q441,8)="Non-aero",ISERROR(MATCH($N441,Lge_NonAero!$B:$B,0))),1,0))</f>
        <v/>
      </c>
      <c r="C441" s="5" t="str">
        <f>IF($G441="","",IF(AND(LEFT($O441,3)="Wom",ISERROR(MATCH($N441,Lge_Women!$B:$B,0))),1,0))</f>
        <v/>
      </c>
      <c r="D441" s="2" t="str">
        <f>IF($G441="","",IF(AND(OR($O441="Vet",$O441="Woman Vet"),ISERROR(MATCH($N441,Lge_Vets!$B:$B,0))),1,0))</f>
        <v/>
      </c>
      <c r="E441" s="2" t="str">
        <f>IF($G441="","",IF(AND(OR($O441="Junior",$O441="Woman Junior",$O441="Youth",$O441="Woman Youth"),ISERROR(MATCH($N441,Lge_Junior!$B:$B,0))),1,0))</f>
        <v/>
      </c>
      <c r="F441" s="2" t="str">
        <f>IF($G441="","",IF(AND(LEFT($O441,3)="You",ISERROR(MATCH($N441,Lge_Youth!$B:$B,0))),1,0))</f>
        <v/>
      </c>
      <c r="G441" s="3"/>
      <c r="H441" s="3"/>
      <c r="I441" s="3"/>
      <c r="J441" s="3"/>
      <c r="K441" s="6"/>
      <c r="L441" s="4"/>
      <c r="M441" s="4"/>
      <c r="N441" s="8"/>
      <c r="O441" s="8"/>
      <c r="P441" s="9"/>
      <c r="Q441" s="8"/>
      <c r="R441" s="8"/>
      <c r="S441" s="9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10"/>
    </row>
    <row r="442" spans="1:39" x14ac:dyDescent="0.2">
      <c r="A442" s="2" t="str">
        <f>IF($G442="","",IF(ISERROR(MATCH($N442,Lge_Scratch!$B:$B,0)),1,0))</f>
        <v/>
      </c>
      <c r="B442" s="2" t="str">
        <f>IF($G442="","",IF(AND(LEFT($Q442,8)="Non-aero",ISERROR(MATCH($N442,Lge_NonAero!$B:$B,0))),1,0))</f>
        <v/>
      </c>
      <c r="C442" s="5" t="str">
        <f>IF($G442="","",IF(AND(LEFT($O442,3)="Wom",ISERROR(MATCH($N442,Lge_Women!$B:$B,0))),1,0))</f>
        <v/>
      </c>
      <c r="D442" s="2" t="str">
        <f>IF($G442="","",IF(AND(OR($O442="Vet",$O442="Woman Vet"),ISERROR(MATCH($N442,Lge_Vets!$B:$B,0))),1,0))</f>
        <v/>
      </c>
      <c r="E442" s="2" t="str">
        <f>IF($G442="","",IF(AND(OR($O442="Junior",$O442="Woman Junior",$O442="Youth",$O442="Woman Youth"),ISERROR(MATCH($N442,Lge_Junior!$B:$B,0))),1,0))</f>
        <v/>
      </c>
      <c r="F442" s="2" t="str">
        <f>IF($G442="","",IF(AND(LEFT($O442,3)="You",ISERROR(MATCH($N442,Lge_Youth!$B:$B,0))),1,0))</f>
        <v/>
      </c>
      <c r="G442" s="3"/>
      <c r="H442" s="3"/>
      <c r="I442" s="3"/>
      <c r="J442" s="3"/>
      <c r="K442" s="6"/>
      <c r="L442" s="4"/>
      <c r="M442" s="4"/>
      <c r="N442" s="8"/>
      <c r="O442" s="8"/>
      <c r="P442" s="9"/>
      <c r="Q442" s="8"/>
      <c r="R442" s="8"/>
      <c r="S442" s="9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10"/>
    </row>
    <row r="443" spans="1:39" x14ac:dyDescent="0.2">
      <c r="A443" s="2" t="str">
        <f>IF($G443="","",IF(ISERROR(MATCH($N443,Lge_Scratch!$B:$B,0)),1,0))</f>
        <v/>
      </c>
      <c r="B443" s="2" t="str">
        <f>IF($G443="","",IF(AND(LEFT($Q443,8)="Non-aero",ISERROR(MATCH($N443,Lge_NonAero!$B:$B,0))),1,0))</f>
        <v/>
      </c>
      <c r="C443" s="5" t="str">
        <f>IF($G443="","",IF(AND(LEFT($O443,3)="Wom",ISERROR(MATCH($N443,Lge_Women!$B:$B,0))),1,0))</f>
        <v/>
      </c>
      <c r="D443" s="2" t="str">
        <f>IF($G443="","",IF(AND(OR($O443="Vet",$O443="Woman Vet"),ISERROR(MATCH($N443,Lge_Vets!$B:$B,0))),1,0))</f>
        <v/>
      </c>
      <c r="E443" s="2" t="str">
        <f>IF($G443="","",IF(AND(OR($O443="Junior",$O443="Woman Junior",$O443="Youth",$O443="Woman Youth"),ISERROR(MATCH($N443,Lge_Junior!$B:$B,0))),1,0))</f>
        <v/>
      </c>
      <c r="F443" s="2" t="str">
        <f>IF($G443="","",IF(AND(LEFT($O443,3)="You",ISERROR(MATCH($N443,Lge_Youth!$B:$B,0))),1,0))</f>
        <v/>
      </c>
      <c r="G443" s="3"/>
      <c r="H443" s="3"/>
      <c r="I443" s="3"/>
      <c r="J443" s="3"/>
      <c r="K443" s="6"/>
      <c r="L443" s="4"/>
      <c r="M443" s="4"/>
      <c r="N443" s="8"/>
      <c r="O443" s="8"/>
      <c r="P443" s="9"/>
      <c r="Q443" s="8"/>
      <c r="R443" s="8"/>
      <c r="S443" s="9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10"/>
    </row>
    <row r="444" spans="1:39" x14ac:dyDescent="0.2">
      <c r="A444" s="2" t="str">
        <f>IF($G444="","",IF(ISERROR(MATCH($N444,Lge_Scratch!$B:$B,0)),1,0))</f>
        <v/>
      </c>
      <c r="B444" s="2" t="str">
        <f>IF($G444="","",IF(AND(LEFT($Q444,8)="Non-aero",ISERROR(MATCH($N444,Lge_NonAero!$B:$B,0))),1,0))</f>
        <v/>
      </c>
      <c r="C444" s="5" t="str">
        <f>IF($G444="","",IF(AND(LEFT($O444,3)="Wom",ISERROR(MATCH($N444,Lge_Women!$B:$B,0))),1,0))</f>
        <v/>
      </c>
      <c r="D444" s="2" t="str">
        <f>IF($G444="","",IF(AND(OR($O444="Vet",$O444="Woman Vet"),ISERROR(MATCH($N444,Lge_Vets!$B:$B,0))),1,0))</f>
        <v/>
      </c>
      <c r="E444" s="2" t="str">
        <f>IF($G444="","",IF(AND(OR($O444="Junior",$O444="Woman Junior",$O444="Youth",$O444="Woman Youth"),ISERROR(MATCH($N444,Lge_Junior!$B:$B,0))),1,0))</f>
        <v/>
      </c>
      <c r="F444" s="2" t="str">
        <f>IF($G444="","",IF(AND(LEFT($O444,3)="You",ISERROR(MATCH($N444,Lge_Youth!$B:$B,0))),1,0))</f>
        <v/>
      </c>
      <c r="G444" s="3"/>
      <c r="H444" s="3"/>
      <c r="I444" s="3"/>
      <c r="J444" s="3"/>
      <c r="K444" s="6"/>
      <c r="L444" s="4"/>
      <c r="M444" s="4"/>
      <c r="N444" s="8"/>
      <c r="O444" s="8"/>
      <c r="P444" s="9"/>
      <c r="Q444" s="8"/>
      <c r="R444" s="8"/>
      <c r="S444" s="9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10"/>
    </row>
    <row r="445" spans="1:39" x14ac:dyDescent="0.2">
      <c r="A445" s="2" t="str">
        <f>IF($G445="","",IF(ISERROR(MATCH($N445,Lge_Scratch!$B:$B,0)),1,0))</f>
        <v/>
      </c>
      <c r="B445" s="2" t="str">
        <f>IF($G445="","",IF(AND(LEFT($Q445,8)="Non-aero",ISERROR(MATCH($N445,Lge_NonAero!$B:$B,0))),1,0))</f>
        <v/>
      </c>
      <c r="C445" s="5" t="str">
        <f>IF($G445="","",IF(AND(LEFT($O445,3)="Wom",ISERROR(MATCH($N445,Lge_Women!$B:$B,0))),1,0))</f>
        <v/>
      </c>
      <c r="D445" s="2" t="str">
        <f>IF($G445="","",IF(AND(OR($O445="Vet",$O445="Woman Vet"),ISERROR(MATCH($N445,Lge_Vets!$B:$B,0))),1,0))</f>
        <v/>
      </c>
      <c r="E445" s="2" t="str">
        <f>IF($G445="","",IF(AND(OR($O445="Junior",$O445="Woman Junior",$O445="Youth",$O445="Woman Youth"),ISERROR(MATCH($N445,Lge_Junior!$B:$B,0))),1,0))</f>
        <v/>
      </c>
      <c r="F445" s="2" t="str">
        <f>IF($G445="","",IF(AND(LEFT($O445,3)="You",ISERROR(MATCH($N445,Lge_Youth!$B:$B,0))),1,0))</f>
        <v/>
      </c>
      <c r="G445" s="3"/>
      <c r="H445" s="3"/>
      <c r="I445" s="3"/>
      <c r="J445" s="3"/>
      <c r="K445" s="6"/>
      <c r="L445" s="4"/>
      <c r="M445" s="4"/>
      <c r="N445" s="8"/>
      <c r="O445" s="8"/>
      <c r="P445" s="9"/>
      <c r="Q445" s="8"/>
      <c r="R445" s="8"/>
      <c r="S445" s="9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10"/>
    </row>
    <row r="446" spans="1:39" x14ac:dyDescent="0.2">
      <c r="A446" s="2" t="str">
        <f>IF($G446="","",IF(ISERROR(MATCH($N446,Lge_Scratch!$B:$B,0)),1,0))</f>
        <v/>
      </c>
      <c r="B446" s="2" t="str">
        <f>IF($G446="","",IF(AND(LEFT($Q446,8)="Non-aero",ISERROR(MATCH($N446,Lge_NonAero!$B:$B,0))),1,0))</f>
        <v/>
      </c>
      <c r="C446" s="5" t="str">
        <f>IF($G446="","",IF(AND(LEFT($O446,3)="Wom",ISERROR(MATCH($N446,Lge_Women!$B:$B,0))),1,0))</f>
        <v/>
      </c>
      <c r="D446" s="2" t="str">
        <f>IF($G446="","",IF(AND(OR($O446="Vet",$O446="Woman Vet"),ISERROR(MATCH($N446,Lge_Vets!$B:$B,0))),1,0))</f>
        <v/>
      </c>
      <c r="E446" s="2" t="str">
        <f>IF($G446="","",IF(AND(OR($O446="Junior",$O446="Woman Junior",$O446="Youth",$O446="Woman Youth"),ISERROR(MATCH($N446,Lge_Junior!$B:$B,0))),1,0))</f>
        <v/>
      </c>
      <c r="F446" s="2" t="str">
        <f>IF($G446="","",IF(AND(LEFT($O446,3)="You",ISERROR(MATCH($N446,Lge_Youth!$B:$B,0))),1,0))</f>
        <v/>
      </c>
      <c r="G446" s="3"/>
      <c r="H446" s="3"/>
      <c r="I446" s="3"/>
      <c r="J446" s="3"/>
      <c r="K446" s="6"/>
      <c r="L446" s="4"/>
      <c r="M446" s="4"/>
      <c r="N446" s="8"/>
      <c r="O446" s="8"/>
      <c r="P446" s="9"/>
      <c r="Q446" s="8"/>
      <c r="R446" s="8"/>
      <c r="S446" s="9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10"/>
    </row>
    <row r="447" spans="1:39" x14ac:dyDescent="0.2">
      <c r="A447" s="2" t="str">
        <f>IF($G447="","",IF(ISERROR(MATCH($N447,Lge_Scratch!$B:$B,0)),1,0))</f>
        <v/>
      </c>
      <c r="B447" s="2" t="str">
        <f>IF($G447="","",IF(AND(LEFT($Q447,8)="Non-aero",ISERROR(MATCH($N447,Lge_NonAero!$B:$B,0))),1,0))</f>
        <v/>
      </c>
      <c r="C447" s="5" t="str">
        <f>IF($G447="","",IF(AND(LEFT($O447,3)="Wom",ISERROR(MATCH($N447,Lge_Women!$B:$B,0))),1,0))</f>
        <v/>
      </c>
      <c r="D447" s="2" t="str">
        <f>IF($G447="","",IF(AND(OR($O447="Vet",$O447="Woman Vet"),ISERROR(MATCH($N447,Lge_Vets!$B:$B,0))),1,0))</f>
        <v/>
      </c>
      <c r="E447" s="2" t="str">
        <f>IF($G447="","",IF(AND(OR($O447="Junior",$O447="Woman Junior",$O447="Youth",$O447="Woman Youth"),ISERROR(MATCH($N447,Lge_Junior!$B:$B,0))),1,0))</f>
        <v/>
      </c>
      <c r="F447" s="2" t="str">
        <f>IF($G447="","",IF(AND(LEFT($O447,3)="You",ISERROR(MATCH($N447,Lge_Youth!$B:$B,0))),1,0))</f>
        <v/>
      </c>
      <c r="G447" s="3"/>
      <c r="H447" s="3"/>
      <c r="I447" s="3"/>
      <c r="J447" s="3"/>
      <c r="K447" s="6"/>
      <c r="L447" s="4"/>
      <c r="M447" s="4"/>
      <c r="N447" s="8"/>
      <c r="O447" s="8"/>
      <c r="P447" s="9"/>
      <c r="Q447" s="8"/>
      <c r="R447" s="8"/>
      <c r="S447" s="9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10"/>
    </row>
    <row r="448" spans="1:39" x14ac:dyDescent="0.2">
      <c r="A448" s="2" t="str">
        <f>IF($G448="","",IF(ISERROR(MATCH($N448,Lge_Scratch!$B:$B,0)),1,0))</f>
        <v/>
      </c>
      <c r="B448" s="2" t="str">
        <f>IF($G448="","",IF(AND(LEFT($Q448,8)="Non-aero",ISERROR(MATCH($N448,Lge_NonAero!$B:$B,0))),1,0))</f>
        <v/>
      </c>
      <c r="C448" s="5" t="str">
        <f>IF($G448="","",IF(AND(LEFT($O448,3)="Wom",ISERROR(MATCH($N448,Lge_Women!$B:$B,0))),1,0))</f>
        <v/>
      </c>
      <c r="D448" s="2" t="str">
        <f>IF($G448="","",IF(AND(OR($O448="Vet",$O448="Woman Vet"),ISERROR(MATCH($N448,Lge_Vets!$B:$B,0))),1,0))</f>
        <v/>
      </c>
      <c r="E448" s="2" t="str">
        <f>IF($G448="","",IF(AND(OR($O448="Junior",$O448="Woman Junior",$O448="Youth",$O448="Woman Youth"),ISERROR(MATCH($N448,Lge_Junior!$B:$B,0))),1,0))</f>
        <v/>
      </c>
      <c r="F448" s="2" t="str">
        <f>IF($G448="","",IF(AND(LEFT($O448,3)="You",ISERROR(MATCH($N448,Lge_Youth!$B:$B,0))),1,0))</f>
        <v/>
      </c>
      <c r="G448" s="3"/>
      <c r="H448" s="3"/>
      <c r="I448" s="3"/>
      <c r="J448" s="3"/>
      <c r="K448" s="6"/>
      <c r="L448" s="4"/>
      <c r="M448" s="4"/>
      <c r="N448" s="8"/>
      <c r="O448" s="8"/>
      <c r="P448" s="9"/>
      <c r="Q448" s="8"/>
      <c r="R448" s="8"/>
      <c r="S448" s="9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10"/>
    </row>
    <row r="449" spans="1:39" x14ac:dyDescent="0.2">
      <c r="A449" s="2" t="str">
        <f>IF($G449="","",IF(ISERROR(MATCH($N449,Lge_Scratch!$B:$B,0)),1,0))</f>
        <v/>
      </c>
      <c r="B449" s="2" t="str">
        <f>IF($G449="","",IF(AND(LEFT($Q449,8)="Non-aero",ISERROR(MATCH($N449,Lge_NonAero!$B:$B,0))),1,0))</f>
        <v/>
      </c>
      <c r="C449" s="5" t="str">
        <f>IF($G449="","",IF(AND(LEFT($O449,3)="Wom",ISERROR(MATCH($N449,Lge_Women!$B:$B,0))),1,0))</f>
        <v/>
      </c>
      <c r="D449" s="2" t="str">
        <f>IF($G449="","",IF(AND(OR($O449="Vet",$O449="Woman Vet"),ISERROR(MATCH($N449,Lge_Vets!$B:$B,0))),1,0))</f>
        <v/>
      </c>
      <c r="E449" s="2" t="str">
        <f>IF($G449="","",IF(AND(OR($O449="Junior",$O449="Woman Junior",$O449="Youth",$O449="Woman Youth"),ISERROR(MATCH($N449,Lge_Junior!$B:$B,0))),1,0))</f>
        <v/>
      </c>
      <c r="F449" s="2" t="str">
        <f>IF($G449="","",IF(AND(LEFT($O449,3)="You",ISERROR(MATCH($N449,Lge_Youth!$B:$B,0))),1,0))</f>
        <v/>
      </c>
      <c r="G449" s="3"/>
      <c r="H449" s="3"/>
      <c r="I449" s="3"/>
      <c r="J449" s="3"/>
      <c r="K449" s="6"/>
      <c r="L449" s="4"/>
      <c r="M449" s="4"/>
      <c r="N449" s="8"/>
      <c r="O449" s="8"/>
      <c r="P449" s="9"/>
      <c r="Q449" s="8"/>
      <c r="R449" s="8"/>
      <c r="S449" s="9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10"/>
    </row>
    <row r="450" spans="1:39" x14ac:dyDescent="0.2">
      <c r="A450" s="2" t="str">
        <f>IF($G450="","",IF(ISERROR(MATCH($N450,Lge_Scratch!$B:$B,0)),1,0))</f>
        <v/>
      </c>
      <c r="B450" s="2" t="str">
        <f>IF($G450="","",IF(AND(LEFT($Q450,8)="Non-aero",ISERROR(MATCH($N450,Lge_NonAero!$B:$B,0))),1,0))</f>
        <v/>
      </c>
      <c r="C450" s="5" t="str">
        <f>IF($G450="","",IF(AND(LEFT($O450,3)="Wom",ISERROR(MATCH($N450,Lge_Women!$B:$B,0))),1,0))</f>
        <v/>
      </c>
      <c r="D450" s="2" t="str">
        <f>IF($G450="","",IF(AND(OR($O450="Vet",$O450="Woman Vet"),ISERROR(MATCH($N450,Lge_Vets!$B:$B,0))),1,0))</f>
        <v/>
      </c>
      <c r="E450" s="2" t="str">
        <f>IF($G450="","",IF(AND(OR($O450="Junior",$O450="Woman Junior",$O450="Youth",$O450="Woman Youth"),ISERROR(MATCH($N450,Lge_Junior!$B:$B,0))),1,0))</f>
        <v/>
      </c>
      <c r="F450" s="2" t="str">
        <f>IF($G450="","",IF(AND(LEFT($O450,3)="You",ISERROR(MATCH($N450,Lge_Youth!$B:$B,0))),1,0))</f>
        <v/>
      </c>
      <c r="G450" s="3"/>
      <c r="H450" s="3"/>
      <c r="I450" s="3"/>
      <c r="J450" s="3"/>
      <c r="K450" s="6"/>
      <c r="L450" s="4"/>
      <c r="M450" s="4"/>
      <c r="N450" s="8"/>
      <c r="O450" s="8"/>
      <c r="P450" s="9"/>
      <c r="Q450" s="8"/>
      <c r="R450" s="8"/>
      <c r="S450" s="9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10"/>
    </row>
    <row r="451" spans="1:39" x14ac:dyDescent="0.2">
      <c r="A451" s="2" t="str">
        <f>IF($G451="","",IF(ISERROR(MATCH($N451,Lge_Scratch!$B:$B,0)),1,0))</f>
        <v/>
      </c>
      <c r="B451" s="2" t="str">
        <f>IF($G451="","",IF(AND(LEFT($Q451,8)="Non-aero",ISERROR(MATCH($N451,Lge_NonAero!$B:$B,0))),1,0))</f>
        <v/>
      </c>
      <c r="C451" s="5" t="str">
        <f>IF($G451="","",IF(AND(LEFT($O451,3)="Wom",ISERROR(MATCH($N451,Lge_Women!$B:$B,0))),1,0))</f>
        <v/>
      </c>
      <c r="D451" s="2" t="str">
        <f>IF($G451="","",IF(AND(OR($O451="Vet",$O451="Woman Vet"),ISERROR(MATCH($N451,Lge_Vets!$B:$B,0))),1,0))</f>
        <v/>
      </c>
      <c r="E451" s="2" t="str">
        <f>IF($G451="","",IF(AND(OR($O451="Junior",$O451="Woman Junior",$O451="Youth",$O451="Woman Youth"),ISERROR(MATCH($N451,Lge_Junior!$B:$B,0))),1,0))</f>
        <v/>
      </c>
      <c r="F451" s="2" t="str">
        <f>IF($G451="","",IF(AND(LEFT($O451,3)="You",ISERROR(MATCH($N451,Lge_Youth!$B:$B,0))),1,0))</f>
        <v/>
      </c>
      <c r="G451" s="3"/>
      <c r="H451" s="3"/>
      <c r="I451" s="3"/>
      <c r="J451" s="3"/>
      <c r="K451" s="6"/>
      <c r="L451" s="4"/>
      <c r="M451" s="4"/>
      <c r="N451" s="8"/>
      <c r="O451" s="8"/>
      <c r="P451" s="9"/>
      <c r="Q451" s="8"/>
      <c r="R451" s="8"/>
      <c r="S451" s="9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10"/>
    </row>
    <row r="452" spans="1:39" x14ac:dyDescent="0.2">
      <c r="A452" s="2" t="str">
        <f>IF($G452="","",IF(ISERROR(MATCH($N452,Lge_Scratch!$B:$B,0)),1,0))</f>
        <v/>
      </c>
      <c r="B452" s="2" t="str">
        <f>IF($G452="","",IF(AND(LEFT($Q452,8)="Non-aero",ISERROR(MATCH($N452,Lge_NonAero!$B:$B,0))),1,0))</f>
        <v/>
      </c>
      <c r="C452" s="5" t="str">
        <f>IF($G452="","",IF(AND(LEFT($O452,3)="Wom",ISERROR(MATCH($N452,Lge_Women!$B:$B,0))),1,0))</f>
        <v/>
      </c>
      <c r="D452" s="2" t="str">
        <f>IF($G452="","",IF(AND(OR($O452="Vet",$O452="Woman Vet"),ISERROR(MATCH($N452,Lge_Vets!$B:$B,0))),1,0))</f>
        <v/>
      </c>
      <c r="E452" s="2" t="str">
        <f>IF($G452="","",IF(AND(OR($O452="Junior",$O452="Woman Junior",$O452="Youth",$O452="Woman Youth"),ISERROR(MATCH($N452,Lge_Junior!$B:$B,0))),1,0))</f>
        <v/>
      </c>
      <c r="F452" s="2" t="str">
        <f>IF($G452="","",IF(AND(LEFT($O452,3)="You",ISERROR(MATCH($N452,Lge_Youth!$B:$B,0))),1,0))</f>
        <v/>
      </c>
      <c r="G452" s="3"/>
      <c r="H452" s="3"/>
      <c r="I452" s="3"/>
      <c r="J452" s="3"/>
      <c r="K452" s="6"/>
      <c r="L452" s="4"/>
      <c r="M452" s="4"/>
      <c r="N452" s="8"/>
      <c r="O452" s="8"/>
      <c r="P452" s="9"/>
      <c r="Q452" s="8"/>
      <c r="R452" s="8"/>
      <c r="S452" s="9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10"/>
    </row>
    <row r="453" spans="1:39" x14ac:dyDescent="0.2">
      <c r="A453" s="2" t="str">
        <f>IF($G453="","",IF(ISERROR(MATCH($N453,Lge_Scratch!$B:$B,0)),1,0))</f>
        <v/>
      </c>
      <c r="B453" s="2" t="str">
        <f>IF($G453="","",IF(AND(LEFT($Q453,8)="Non-aero",ISERROR(MATCH($N453,Lge_NonAero!$B:$B,0))),1,0))</f>
        <v/>
      </c>
      <c r="C453" s="5" t="str">
        <f>IF($G453="","",IF(AND(LEFT($O453,3)="Wom",ISERROR(MATCH($N453,Lge_Women!$B:$B,0))),1,0))</f>
        <v/>
      </c>
      <c r="D453" s="2" t="str">
        <f>IF($G453="","",IF(AND(OR($O453="Vet",$O453="Woman Vet"),ISERROR(MATCH($N453,Lge_Vets!$B:$B,0))),1,0))</f>
        <v/>
      </c>
      <c r="E453" s="2" t="str">
        <f>IF($G453="","",IF(AND(OR($O453="Junior",$O453="Woman Junior",$O453="Youth",$O453="Woman Youth"),ISERROR(MATCH($N453,Lge_Junior!$B:$B,0))),1,0))</f>
        <v/>
      </c>
      <c r="F453" s="2" t="str">
        <f>IF($G453="","",IF(AND(LEFT($O453,3)="You",ISERROR(MATCH($N453,Lge_Youth!$B:$B,0))),1,0))</f>
        <v/>
      </c>
      <c r="G453" s="3"/>
      <c r="H453" s="3"/>
      <c r="I453" s="3"/>
      <c r="J453" s="3"/>
      <c r="K453" s="6"/>
      <c r="L453" s="4"/>
      <c r="M453" s="4"/>
      <c r="N453" s="8"/>
      <c r="O453" s="8"/>
      <c r="P453" s="9"/>
      <c r="Q453" s="8"/>
      <c r="R453" s="8"/>
      <c r="S453" s="9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10"/>
    </row>
    <row r="454" spans="1:39" x14ac:dyDescent="0.2">
      <c r="A454" s="2" t="str">
        <f>IF($G454="","",IF(ISERROR(MATCH($N454,Lge_Scratch!$B:$B,0)),1,0))</f>
        <v/>
      </c>
      <c r="B454" s="2" t="str">
        <f>IF($G454="","",IF(AND(LEFT($Q454,8)="Non-aero",ISERROR(MATCH($N454,Lge_NonAero!$B:$B,0))),1,0))</f>
        <v/>
      </c>
      <c r="C454" s="5" t="str">
        <f>IF($G454="","",IF(AND(LEFT($O454,3)="Wom",ISERROR(MATCH($N454,Lge_Women!$B:$B,0))),1,0))</f>
        <v/>
      </c>
      <c r="D454" s="2" t="str">
        <f>IF($G454="","",IF(AND(OR($O454="Vet",$O454="Woman Vet"),ISERROR(MATCH($N454,Lge_Vets!$B:$B,0))),1,0))</f>
        <v/>
      </c>
      <c r="E454" s="2" t="str">
        <f>IF($G454="","",IF(AND(OR($O454="Junior",$O454="Woman Junior",$O454="Youth",$O454="Woman Youth"),ISERROR(MATCH($N454,Lge_Junior!$B:$B,0))),1,0))</f>
        <v/>
      </c>
      <c r="F454" s="2" t="str">
        <f>IF($G454="","",IF(AND(LEFT($O454,3)="You",ISERROR(MATCH($N454,Lge_Youth!$B:$B,0))),1,0))</f>
        <v/>
      </c>
      <c r="G454" s="3"/>
      <c r="H454" s="3"/>
      <c r="I454" s="3"/>
      <c r="J454" s="3"/>
      <c r="K454" s="6"/>
      <c r="L454" s="4"/>
      <c r="M454" s="4"/>
      <c r="N454" s="8"/>
      <c r="O454" s="8"/>
      <c r="P454" s="9"/>
      <c r="Q454" s="8"/>
      <c r="R454" s="8"/>
      <c r="S454" s="9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10"/>
    </row>
    <row r="455" spans="1:39" x14ac:dyDescent="0.2">
      <c r="A455" s="2" t="str">
        <f>IF($G455="","",IF(ISERROR(MATCH($N455,Lge_Scratch!$B:$B,0)),1,0))</f>
        <v/>
      </c>
      <c r="B455" s="2" t="str">
        <f>IF($G455="","",IF(AND(LEFT($Q455,8)="Non-aero",ISERROR(MATCH($N455,Lge_NonAero!$B:$B,0))),1,0))</f>
        <v/>
      </c>
      <c r="C455" s="5" t="str">
        <f>IF($G455="","",IF(AND(LEFT($O455,3)="Wom",ISERROR(MATCH($N455,Lge_Women!$B:$B,0))),1,0))</f>
        <v/>
      </c>
      <c r="D455" s="2" t="str">
        <f>IF($G455="","",IF(AND(OR($O455="Vet",$O455="Woman Vet"),ISERROR(MATCH($N455,Lge_Vets!$B:$B,0))),1,0))</f>
        <v/>
      </c>
      <c r="E455" s="2" t="str">
        <f>IF($G455="","",IF(AND(OR($O455="Junior",$O455="Woman Junior",$O455="Youth",$O455="Woman Youth"),ISERROR(MATCH($N455,Lge_Junior!$B:$B,0))),1,0))</f>
        <v/>
      </c>
      <c r="F455" s="2" t="str">
        <f>IF($G455="","",IF(AND(LEFT($O455,3)="You",ISERROR(MATCH($N455,Lge_Youth!$B:$B,0))),1,0))</f>
        <v/>
      </c>
      <c r="G455" s="3"/>
      <c r="H455" s="3"/>
      <c r="I455" s="3"/>
      <c r="J455" s="3"/>
      <c r="K455" s="6"/>
      <c r="L455" s="4"/>
      <c r="M455" s="4"/>
      <c r="N455" s="8"/>
      <c r="O455" s="8"/>
      <c r="P455" s="9"/>
      <c r="Q455" s="8"/>
      <c r="R455" s="8"/>
      <c r="S455" s="9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10"/>
    </row>
    <row r="456" spans="1:39" x14ac:dyDescent="0.2">
      <c r="A456" s="2" t="str">
        <f>IF($G456="","",IF(ISERROR(MATCH($N456,Lge_Scratch!$B:$B,0)),1,0))</f>
        <v/>
      </c>
      <c r="B456" s="2" t="str">
        <f>IF($G456="","",IF(AND(LEFT($Q456,8)="Non-aero",ISERROR(MATCH($N456,Lge_NonAero!$B:$B,0))),1,0))</f>
        <v/>
      </c>
      <c r="C456" s="5" t="str">
        <f>IF($G456="","",IF(AND(LEFT($O456,3)="Wom",ISERROR(MATCH($N456,Lge_Women!$B:$B,0))),1,0))</f>
        <v/>
      </c>
      <c r="D456" s="2" t="str">
        <f>IF($G456="","",IF(AND(OR($O456="Vet",$O456="Woman Vet"),ISERROR(MATCH($N456,Lge_Vets!$B:$B,0))),1,0))</f>
        <v/>
      </c>
      <c r="E456" s="2" t="str">
        <f>IF($G456="","",IF(AND(OR($O456="Junior",$O456="Woman Junior",$O456="Youth",$O456="Woman Youth"),ISERROR(MATCH($N456,Lge_Junior!$B:$B,0))),1,0))</f>
        <v/>
      </c>
      <c r="F456" s="2" t="str">
        <f>IF($G456="","",IF(AND(LEFT($O456,3)="You",ISERROR(MATCH($N456,Lge_Youth!$B:$B,0))),1,0))</f>
        <v/>
      </c>
      <c r="G456" s="3"/>
      <c r="H456" s="3"/>
      <c r="I456" s="3"/>
      <c r="J456" s="3"/>
      <c r="K456" s="6"/>
      <c r="L456" s="4"/>
      <c r="M456" s="4"/>
      <c r="N456" s="8"/>
      <c r="O456" s="8"/>
      <c r="P456" s="9"/>
      <c r="Q456" s="8"/>
      <c r="R456" s="8"/>
      <c r="S456" s="9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10"/>
    </row>
    <row r="457" spans="1:39" x14ac:dyDescent="0.2">
      <c r="A457" s="2" t="str">
        <f>IF($G457="","",IF(ISERROR(MATCH($N457,Lge_Scratch!$B:$B,0)),1,0))</f>
        <v/>
      </c>
      <c r="B457" s="2" t="str">
        <f>IF($G457="","",IF(AND(LEFT($Q457,8)="Non-aero",ISERROR(MATCH($N457,Lge_NonAero!$B:$B,0))),1,0))</f>
        <v/>
      </c>
      <c r="C457" s="5" t="str">
        <f>IF($G457="","",IF(AND(LEFT($O457,3)="Wom",ISERROR(MATCH($N457,Lge_Women!$B:$B,0))),1,0))</f>
        <v/>
      </c>
      <c r="D457" s="2" t="str">
        <f>IF($G457="","",IF(AND(OR($O457="Vet",$O457="Woman Vet"),ISERROR(MATCH($N457,Lge_Vets!$B:$B,0))),1,0))</f>
        <v/>
      </c>
      <c r="E457" s="2" t="str">
        <f>IF($G457="","",IF(AND(OR($O457="Junior",$O457="Woman Junior",$O457="Youth",$O457="Woman Youth"),ISERROR(MATCH($N457,Lge_Junior!$B:$B,0))),1,0))</f>
        <v/>
      </c>
      <c r="F457" s="2" t="str">
        <f>IF($G457="","",IF(AND(LEFT($O457,3)="You",ISERROR(MATCH($N457,Lge_Youth!$B:$B,0))),1,0))</f>
        <v/>
      </c>
      <c r="G457" s="3"/>
      <c r="H457" s="3"/>
      <c r="I457" s="3"/>
      <c r="J457" s="3"/>
      <c r="K457" s="6"/>
      <c r="L457" s="4"/>
      <c r="M457" s="4"/>
      <c r="N457" s="8"/>
      <c r="O457" s="8"/>
      <c r="P457" s="9"/>
      <c r="Q457" s="8"/>
      <c r="R457" s="8"/>
      <c r="S457" s="9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10"/>
    </row>
    <row r="458" spans="1:39" x14ac:dyDescent="0.2">
      <c r="A458" s="2" t="str">
        <f>IF($G458="","",IF(ISERROR(MATCH($N458,Lge_Scratch!$B:$B,0)),1,0))</f>
        <v/>
      </c>
      <c r="B458" s="2" t="str">
        <f>IF($G458="","",IF(AND(LEFT($Q458,8)="Non-aero",ISERROR(MATCH($N458,Lge_NonAero!$B:$B,0))),1,0))</f>
        <v/>
      </c>
      <c r="C458" s="5" t="str">
        <f>IF($G458="","",IF(AND(LEFT($O458,3)="Wom",ISERROR(MATCH($N458,Lge_Women!$B:$B,0))),1,0))</f>
        <v/>
      </c>
      <c r="D458" s="2" t="str">
        <f>IF($G458="","",IF(AND(OR($O458="Vet",$O458="Woman Vet"),ISERROR(MATCH($N458,Lge_Vets!$B:$B,0))),1,0))</f>
        <v/>
      </c>
      <c r="E458" s="2" t="str">
        <f>IF($G458="","",IF(AND(OR($O458="Junior",$O458="Woman Junior",$O458="Youth",$O458="Woman Youth"),ISERROR(MATCH($N458,Lge_Junior!$B:$B,0))),1,0))</f>
        <v/>
      </c>
      <c r="F458" s="2" t="str">
        <f>IF($G458="","",IF(AND(LEFT($O458,3)="You",ISERROR(MATCH($N458,Lge_Youth!$B:$B,0))),1,0))</f>
        <v/>
      </c>
      <c r="G458" s="3"/>
      <c r="H458" s="3"/>
      <c r="I458" s="3"/>
      <c r="J458" s="3"/>
      <c r="K458" s="6"/>
      <c r="L458" s="4"/>
      <c r="M458" s="4"/>
      <c r="N458" s="8"/>
      <c r="O458" s="8"/>
      <c r="P458" s="9"/>
      <c r="Q458" s="8"/>
      <c r="R458" s="8"/>
      <c r="S458" s="9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10"/>
    </row>
    <row r="459" spans="1:39" x14ac:dyDescent="0.2">
      <c r="A459" s="2" t="str">
        <f>IF($G459="","",IF(ISERROR(MATCH($N459,Lge_Scratch!$B:$B,0)),1,0))</f>
        <v/>
      </c>
      <c r="B459" s="2" t="str">
        <f>IF($G459="","",IF(AND(LEFT($Q459,8)="Non-aero",ISERROR(MATCH($N459,Lge_NonAero!$B:$B,0))),1,0))</f>
        <v/>
      </c>
      <c r="C459" s="5" t="str">
        <f>IF($G459="","",IF(AND(LEFT($O459,3)="Wom",ISERROR(MATCH($N459,Lge_Women!$B:$B,0))),1,0))</f>
        <v/>
      </c>
      <c r="D459" s="2" t="str">
        <f>IF($G459="","",IF(AND(OR($O459="Vet",$O459="Woman Vet"),ISERROR(MATCH($N459,Lge_Vets!$B:$B,0))),1,0))</f>
        <v/>
      </c>
      <c r="E459" s="2" t="str">
        <f>IF($G459="","",IF(AND(OR($O459="Junior",$O459="Woman Junior",$O459="Youth",$O459="Woman Youth"),ISERROR(MATCH($N459,Lge_Junior!$B:$B,0))),1,0))</f>
        <v/>
      </c>
      <c r="F459" s="2" t="str">
        <f>IF($G459="","",IF(AND(LEFT($O459,3)="You",ISERROR(MATCH($N459,Lge_Youth!$B:$B,0))),1,0))</f>
        <v/>
      </c>
      <c r="G459" s="3"/>
      <c r="H459" s="3"/>
      <c r="I459" s="3"/>
      <c r="J459" s="3"/>
      <c r="K459" s="6"/>
      <c r="L459" s="4"/>
      <c r="M459" s="4"/>
      <c r="N459" s="8"/>
      <c r="O459" s="8"/>
      <c r="P459" s="9"/>
      <c r="Q459" s="8"/>
      <c r="R459" s="8"/>
      <c r="S459" s="9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10"/>
    </row>
    <row r="460" spans="1:39" x14ac:dyDescent="0.2">
      <c r="A460" s="2" t="str">
        <f>IF($G460="","",IF(ISERROR(MATCH($N460,Lge_Scratch!$B:$B,0)),1,0))</f>
        <v/>
      </c>
      <c r="B460" s="2" t="str">
        <f>IF($G460="","",IF(AND(LEFT($Q460,8)="Non-aero",ISERROR(MATCH($N460,Lge_NonAero!$B:$B,0))),1,0))</f>
        <v/>
      </c>
      <c r="C460" s="5" t="str">
        <f>IF($G460="","",IF(AND(LEFT($O460,3)="Wom",ISERROR(MATCH($N460,Lge_Women!$B:$B,0))),1,0))</f>
        <v/>
      </c>
      <c r="D460" s="2" t="str">
        <f>IF($G460="","",IF(AND(OR($O460="Vet",$O460="Woman Vet"),ISERROR(MATCH($N460,Lge_Vets!$B:$B,0))),1,0))</f>
        <v/>
      </c>
      <c r="E460" s="2" t="str">
        <f>IF($G460="","",IF(AND(OR($O460="Junior",$O460="Woman Junior",$O460="Youth",$O460="Woman Youth"),ISERROR(MATCH($N460,Lge_Junior!$B:$B,0))),1,0))</f>
        <v/>
      </c>
      <c r="F460" s="2" t="str">
        <f>IF($G460="","",IF(AND(LEFT($O460,3)="You",ISERROR(MATCH($N460,Lge_Youth!$B:$B,0))),1,0))</f>
        <v/>
      </c>
      <c r="G460" s="3"/>
      <c r="H460" s="3"/>
      <c r="I460" s="3"/>
      <c r="J460" s="3"/>
      <c r="K460" s="6"/>
      <c r="L460" s="4"/>
      <c r="M460" s="4"/>
      <c r="N460" s="8"/>
      <c r="O460" s="8"/>
      <c r="P460" s="9"/>
      <c r="Q460" s="8"/>
      <c r="R460" s="8"/>
      <c r="S460" s="9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10"/>
    </row>
    <row r="461" spans="1:39" x14ac:dyDescent="0.2">
      <c r="A461" s="2" t="str">
        <f>IF($G461="","",IF(ISERROR(MATCH($N461,Lge_Scratch!$B:$B,0)),1,0))</f>
        <v/>
      </c>
      <c r="B461" s="2" t="str">
        <f>IF($G461="","",IF(AND(LEFT($Q461,8)="Non-aero",ISERROR(MATCH($N461,Lge_NonAero!$B:$B,0))),1,0))</f>
        <v/>
      </c>
      <c r="C461" s="5" t="str">
        <f>IF($G461="","",IF(AND(LEFT($O461,3)="Wom",ISERROR(MATCH($N461,Lge_Women!$B:$B,0))),1,0))</f>
        <v/>
      </c>
      <c r="D461" s="2" t="str">
        <f>IF($G461="","",IF(AND(OR($O461="Vet",$O461="Woman Vet"),ISERROR(MATCH($N461,Lge_Vets!$B:$B,0))),1,0))</f>
        <v/>
      </c>
      <c r="E461" s="2" t="str">
        <f>IF($G461="","",IF(AND(OR($O461="Junior",$O461="Woman Junior",$O461="Youth",$O461="Woman Youth"),ISERROR(MATCH($N461,Lge_Junior!$B:$B,0))),1,0))</f>
        <v/>
      </c>
      <c r="F461" s="2" t="str">
        <f>IF($G461="","",IF(AND(LEFT($O461,3)="You",ISERROR(MATCH($N461,Lge_Youth!$B:$B,0))),1,0))</f>
        <v/>
      </c>
      <c r="G461" s="3"/>
      <c r="H461" s="3"/>
      <c r="I461" s="3"/>
      <c r="J461" s="3"/>
      <c r="K461" s="6"/>
      <c r="L461" s="4"/>
      <c r="M461" s="4"/>
      <c r="N461" s="8"/>
      <c r="O461" s="8"/>
      <c r="P461" s="9"/>
      <c r="Q461" s="8"/>
      <c r="R461" s="8"/>
      <c r="S461" s="9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10"/>
    </row>
    <row r="462" spans="1:39" x14ac:dyDescent="0.2">
      <c r="A462" s="2" t="str">
        <f>IF($G462="","",IF(ISERROR(MATCH($N462,Lge_Scratch!$B:$B,0)),1,0))</f>
        <v/>
      </c>
      <c r="B462" s="2" t="str">
        <f>IF($G462="","",IF(AND(LEFT($Q462,8)="Non-aero",ISERROR(MATCH($N462,Lge_NonAero!$B:$B,0))),1,0))</f>
        <v/>
      </c>
      <c r="C462" s="5" t="str">
        <f>IF($G462="","",IF(AND(LEFT($O462,3)="Wom",ISERROR(MATCH($N462,Lge_Women!$B:$B,0))),1,0))</f>
        <v/>
      </c>
      <c r="D462" s="2" t="str">
        <f>IF($G462="","",IF(AND(OR($O462="Vet",$O462="Woman Vet"),ISERROR(MATCH($N462,Lge_Vets!$B:$B,0))),1,0))</f>
        <v/>
      </c>
      <c r="E462" s="2" t="str">
        <f>IF($G462="","",IF(AND(OR($O462="Junior",$O462="Woman Junior",$O462="Youth",$O462="Woman Youth"),ISERROR(MATCH($N462,Lge_Junior!$B:$B,0))),1,0))</f>
        <v/>
      </c>
      <c r="F462" s="2" t="str">
        <f>IF($G462="","",IF(AND(LEFT($O462,3)="You",ISERROR(MATCH($N462,Lge_Youth!$B:$B,0))),1,0))</f>
        <v/>
      </c>
      <c r="G462" s="3"/>
      <c r="H462" s="3"/>
      <c r="I462" s="3"/>
      <c r="J462" s="3"/>
      <c r="K462" s="6"/>
      <c r="L462" s="4"/>
      <c r="M462" s="4"/>
      <c r="N462" s="8"/>
      <c r="O462" s="8"/>
      <c r="P462" s="9"/>
      <c r="Q462" s="8"/>
      <c r="R462" s="8"/>
      <c r="S462" s="9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10"/>
    </row>
    <row r="463" spans="1:39" x14ac:dyDescent="0.2">
      <c r="A463" s="2" t="str">
        <f>IF($G463="","",IF(ISERROR(MATCH($N463,Lge_Scratch!$B:$B,0)),1,0))</f>
        <v/>
      </c>
      <c r="B463" s="2" t="str">
        <f>IF($G463="","",IF(AND(LEFT($Q463,8)="Non-aero",ISERROR(MATCH($N463,Lge_NonAero!$B:$B,0))),1,0))</f>
        <v/>
      </c>
      <c r="C463" s="5" t="str">
        <f>IF($G463="","",IF(AND(LEFT($O463,3)="Wom",ISERROR(MATCH($N463,Lge_Women!$B:$B,0))),1,0))</f>
        <v/>
      </c>
      <c r="D463" s="2" t="str">
        <f>IF($G463="","",IF(AND(OR($O463="Vet",$O463="Woman Vet"),ISERROR(MATCH($N463,Lge_Vets!$B:$B,0))),1,0))</f>
        <v/>
      </c>
      <c r="E463" s="2" t="str">
        <f>IF($G463="","",IF(AND(OR($O463="Junior",$O463="Woman Junior",$O463="Youth",$O463="Woman Youth"),ISERROR(MATCH($N463,Lge_Junior!$B:$B,0))),1,0))</f>
        <v/>
      </c>
      <c r="F463" s="2" t="str">
        <f>IF($G463="","",IF(AND(LEFT($O463,3)="You",ISERROR(MATCH($N463,Lge_Youth!$B:$B,0))),1,0))</f>
        <v/>
      </c>
      <c r="G463" s="3"/>
      <c r="H463" s="3"/>
      <c r="I463" s="3"/>
      <c r="J463" s="3"/>
      <c r="K463" s="6"/>
      <c r="L463" s="4"/>
      <c r="M463" s="4"/>
      <c r="N463" s="8"/>
      <c r="O463" s="8"/>
      <c r="P463" s="9"/>
      <c r="Q463" s="8"/>
      <c r="R463" s="8"/>
      <c r="S463" s="9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10"/>
    </row>
    <row r="464" spans="1:39" x14ac:dyDescent="0.2">
      <c r="A464" s="2" t="str">
        <f>IF($G464="","",IF(ISERROR(MATCH($N464,Lge_Scratch!$B:$B,0)),1,0))</f>
        <v/>
      </c>
      <c r="B464" s="2" t="str">
        <f>IF($G464="","",IF(AND(LEFT($Q464,8)="Non-aero",ISERROR(MATCH($N464,Lge_NonAero!$B:$B,0))),1,0))</f>
        <v/>
      </c>
      <c r="C464" s="5" t="str">
        <f>IF($G464="","",IF(AND(LEFT($O464,3)="Wom",ISERROR(MATCH($N464,Lge_Women!$B:$B,0))),1,0))</f>
        <v/>
      </c>
      <c r="D464" s="2" t="str">
        <f>IF($G464="","",IF(AND(OR($O464="Vet",$O464="Woman Vet"),ISERROR(MATCH($N464,Lge_Vets!$B:$B,0))),1,0))</f>
        <v/>
      </c>
      <c r="E464" s="2" t="str">
        <f>IF($G464="","",IF(AND(OR($O464="Junior",$O464="Woman Junior",$O464="Youth",$O464="Woman Youth"),ISERROR(MATCH($N464,Lge_Junior!$B:$B,0))),1,0))</f>
        <v/>
      </c>
      <c r="F464" s="2" t="str">
        <f>IF($G464="","",IF(AND(LEFT($O464,3)="You",ISERROR(MATCH($N464,Lge_Youth!$B:$B,0))),1,0))</f>
        <v/>
      </c>
      <c r="G464" s="3"/>
      <c r="H464" s="3"/>
      <c r="I464" s="3"/>
      <c r="J464" s="3"/>
      <c r="K464" s="6"/>
      <c r="L464" s="4"/>
      <c r="M464" s="4"/>
      <c r="N464" s="8"/>
      <c r="O464" s="8"/>
      <c r="P464" s="9"/>
      <c r="Q464" s="8"/>
      <c r="R464" s="8"/>
      <c r="S464" s="9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10"/>
    </row>
    <row r="465" spans="1:39" x14ac:dyDescent="0.2">
      <c r="A465" s="2" t="str">
        <f>IF($G465="","",IF(ISERROR(MATCH($N465,Lge_Scratch!$B:$B,0)),1,0))</f>
        <v/>
      </c>
      <c r="B465" s="2" t="str">
        <f>IF($G465="","",IF(AND(LEFT($Q465,8)="Non-aero",ISERROR(MATCH($N465,Lge_NonAero!$B:$B,0))),1,0))</f>
        <v/>
      </c>
      <c r="C465" s="5" t="str">
        <f>IF($G465="","",IF(AND(LEFT($O465,3)="Wom",ISERROR(MATCH($N465,Lge_Women!$B:$B,0))),1,0))</f>
        <v/>
      </c>
      <c r="D465" s="2" t="str">
        <f>IF($G465="","",IF(AND(OR($O465="Vet",$O465="Woman Vet"),ISERROR(MATCH($N465,Lge_Vets!$B:$B,0))),1,0))</f>
        <v/>
      </c>
      <c r="E465" s="2" t="str">
        <f>IF($G465="","",IF(AND(OR($O465="Junior",$O465="Woman Junior",$O465="Youth",$O465="Woman Youth"),ISERROR(MATCH($N465,Lge_Junior!$B:$B,0))),1,0))</f>
        <v/>
      </c>
      <c r="F465" s="2" t="str">
        <f>IF($G465="","",IF(AND(LEFT($O465,3)="You",ISERROR(MATCH($N465,Lge_Youth!$B:$B,0))),1,0))</f>
        <v/>
      </c>
      <c r="G465" s="3"/>
      <c r="H465" s="3"/>
      <c r="I465" s="3"/>
      <c r="J465" s="3"/>
      <c r="K465" s="6"/>
      <c r="L465" s="4"/>
      <c r="M465" s="4"/>
      <c r="N465" s="8"/>
      <c r="O465" s="8"/>
      <c r="P465" s="9"/>
      <c r="Q465" s="8"/>
      <c r="R465" s="8"/>
      <c r="S465" s="9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10"/>
    </row>
    <row r="466" spans="1:39" x14ac:dyDescent="0.2">
      <c r="A466" s="2" t="str">
        <f>IF($G466="","",IF(ISERROR(MATCH($N466,Lge_Scratch!$B:$B,0)),1,0))</f>
        <v/>
      </c>
      <c r="B466" s="2" t="str">
        <f>IF($G466="","",IF(AND(LEFT($Q466,8)="Non-aero",ISERROR(MATCH($N466,Lge_NonAero!$B:$B,0))),1,0))</f>
        <v/>
      </c>
      <c r="C466" s="5" t="str">
        <f>IF($G466="","",IF(AND(LEFT($O466,3)="Wom",ISERROR(MATCH($N466,Lge_Women!$B:$B,0))),1,0))</f>
        <v/>
      </c>
      <c r="D466" s="2" t="str">
        <f>IF($G466="","",IF(AND(OR($O466="Vet",$O466="Woman Vet"),ISERROR(MATCH($N466,Lge_Vets!$B:$B,0))),1,0))</f>
        <v/>
      </c>
      <c r="E466" s="2" t="str">
        <f>IF($G466="","",IF(AND(OR($O466="Junior",$O466="Woman Junior",$O466="Youth",$O466="Woman Youth"),ISERROR(MATCH($N466,Lge_Junior!$B:$B,0))),1,0))</f>
        <v/>
      </c>
      <c r="F466" s="2" t="str">
        <f>IF($G466="","",IF(AND(LEFT($O466,3)="You",ISERROR(MATCH($N466,Lge_Youth!$B:$B,0))),1,0))</f>
        <v/>
      </c>
      <c r="G466" s="3"/>
      <c r="H466" s="3"/>
      <c r="I466" s="3"/>
      <c r="J466" s="3"/>
      <c r="K466" s="6"/>
      <c r="L466" s="4"/>
      <c r="M466" s="4"/>
      <c r="N466" s="8"/>
      <c r="O466" s="8"/>
      <c r="P466" s="9"/>
      <c r="Q466" s="8"/>
      <c r="R466" s="8"/>
      <c r="S466" s="9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10"/>
    </row>
    <row r="467" spans="1:39" x14ac:dyDescent="0.2">
      <c r="A467" s="2" t="str">
        <f>IF($G467="","",IF(ISERROR(MATCH($N467,Lge_Scratch!$B:$B,0)),1,0))</f>
        <v/>
      </c>
      <c r="B467" s="2" t="str">
        <f>IF($G467="","",IF(AND(LEFT($Q467,8)="Non-aero",ISERROR(MATCH($N467,Lge_NonAero!$B:$B,0))),1,0))</f>
        <v/>
      </c>
      <c r="C467" s="5" t="str">
        <f>IF($G467="","",IF(AND(LEFT($O467,3)="Wom",ISERROR(MATCH($N467,Lge_Women!$B:$B,0))),1,0))</f>
        <v/>
      </c>
      <c r="D467" s="2" t="str">
        <f>IF($G467="","",IF(AND(OR($O467="Vet",$O467="Woman Vet"),ISERROR(MATCH($N467,Lge_Vets!$B:$B,0))),1,0))</f>
        <v/>
      </c>
      <c r="E467" s="2" t="str">
        <f>IF($G467="","",IF(AND(OR($O467="Junior",$O467="Woman Junior",$O467="Youth",$O467="Woman Youth"),ISERROR(MATCH($N467,Lge_Junior!$B:$B,0))),1,0))</f>
        <v/>
      </c>
      <c r="F467" s="2" t="str">
        <f>IF($G467="","",IF(AND(LEFT($O467,3)="You",ISERROR(MATCH($N467,Lge_Youth!$B:$B,0))),1,0))</f>
        <v/>
      </c>
      <c r="G467" s="3"/>
      <c r="H467" s="3"/>
      <c r="I467" s="3"/>
      <c r="J467" s="3"/>
      <c r="K467" s="6"/>
      <c r="L467" s="4"/>
      <c r="M467" s="4"/>
      <c r="N467" s="8"/>
      <c r="O467" s="8"/>
      <c r="P467" s="9"/>
      <c r="Q467" s="8"/>
      <c r="R467" s="8"/>
      <c r="S467" s="9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10"/>
    </row>
    <row r="468" spans="1:39" x14ac:dyDescent="0.2">
      <c r="A468" s="2" t="str">
        <f>IF($G468="","",IF(ISERROR(MATCH($N468,Lge_Scratch!$B:$B,0)),1,0))</f>
        <v/>
      </c>
      <c r="B468" s="2" t="str">
        <f>IF($G468="","",IF(AND(LEFT($Q468,8)="Non-aero",ISERROR(MATCH($N468,Lge_NonAero!$B:$B,0))),1,0))</f>
        <v/>
      </c>
      <c r="C468" s="5" t="str">
        <f>IF($G468="","",IF(AND(LEFT($O468,3)="Wom",ISERROR(MATCH($N468,Lge_Women!$B:$B,0))),1,0))</f>
        <v/>
      </c>
      <c r="D468" s="2" t="str">
        <f>IF($G468="","",IF(AND(OR($O468="Vet",$O468="Woman Vet"),ISERROR(MATCH($N468,Lge_Vets!$B:$B,0))),1,0))</f>
        <v/>
      </c>
      <c r="E468" s="2" t="str">
        <f>IF($G468="","",IF(AND(OR($O468="Junior",$O468="Woman Junior",$O468="Youth",$O468="Woman Youth"),ISERROR(MATCH($N468,Lge_Junior!$B:$B,0))),1,0))</f>
        <v/>
      </c>
      <c r="F468" s="2" t="str">
        <f>IF($G468="","",IF(AND(LEFT($O468,3)="You",ISERROR(MATCH($N468,Lge_Youth!$B:$B,0))),1,0))</f>
        <v/>
      </c>
      <c r="G468" s="3"/>
      <c r="H468" s="3"/>
      <c r="I468" s="3"/>
      <c r="J468" s="3"/>
      <c r="K468" s="6"/>
      <c r="L468" s="4"/>
      <c r="M468" s="4"/>
      <c r="N468" s="8"/>
      <c r="O468" s="8"/>
      <c r="P468" s="9"/>
      <c r="Q468" s="8"/>
      <c r="R468" s="8"/>
      <c r="S468" s="9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10"/>
    </row>
    <row r="469" spans="1:39" x14ac:dyDescent="0.2">
      <c r="A469" s="2" t="str">
        <f>IF($G469="","",IF(ISERROR(MATCH($N469,Lge_Scratch!$B:$B,0)),1,0))</f>
        <v/>
      </c>
      <c r="B469" s="2" t="str">
        <f>IF($G469="","",IF(AND(LEFT($Q469,8)="Non-aero",ISERROR(MATCH($N469,Lge_NonAero!$B:$B,0))),1,0))</f>
        <v/>
      </c>
      <c r="C469" s="5" t="str">
        <f>IF($G469="","",IF(AND(LEFT($O469,3)="Wom",ISERROR(MATCH($N469,Lge_Women!$B:$B,0))),1,0))</f>
        <v/>
      </c>
      <c r="D469" s="2" t="str">
        <f>IF($G469="","",IF(AND(OR($O469="Vet",$O469="Woman Vet"),ISERROR(MATCH($N469,Lge_Vets!$B:$B,0))),1,0))</f>
        <v/>
      </c>
      <c r="E469" s="2" t="str">
        <f>IF($G469="","",IF(AND(OR($O469="Junior",$O469="Woman Junior",$O469="Youth",$O469="Woman Youth"),ISERROR(MATCH($N469,Lge_Junior!$B:$B,0))),1,0))</f>
        <v/>
      </c>
      <c r="F469" s="2" t="str">
        <f>IF($G469="","",IF(AND(LEFT($O469,3)="You",ISERROR(MATCH($N469,Lge_Youth!$B:$B,0))),1,0))</f>
        <v/>
      </c>
      <c r="G469" s="3"/>
      <c r="H469" s="3"/>
      <c r="I469" s="3"/>
      <c r="J469" s="3"/>
      <c r="K469" s="6"/>
      <c r="L469" s="4"/>
      <c r="M469" s="4"/>
      <c r="N469" s="8"/>
      <c r="O469" s="8"/>
      <c r="P469" s="9"/>
      <c r="Q469" s="8"/>
      <c r="R469" s="8"/>
      <c r="S469" s="9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10"/>
    </row>
    <row r="470" spans="1:39" x14ac:dyDescent="0.2">
      <c r="A470" s="2" t="str">
        <f>IF($G470="","",IF(ISERROR(MATCH($N470,Lge_Scratch!$B:$B,0)),1,0))</f>
        <v/>
      </c>
      <c r="B470" s="2" t="str">
        <f>IF($G470="","",IF(AND(LEFT($Q470,8)="Non-aero",ISERROR(MATCH($N470,Lge_NonAero!$B:$B,0))),1,0))</f>
        <v/>
      </c>
      <c r="C470" s="5" t="str">
        <f>IF($G470="","",IF(AND(LEFT($O470,3)="Wom",ISERROR(MATCH($N470,Lge_Women!$B:$B,0))),1,0))</f>
        <v/>
      </c>
      <c r="D470" s="2" t="str">
        <f>IF($G470="","",IF(AND(OR($O470="Vet",$O470="Woman Vet"),ISERROR(MATCH($N470,Lge_Vets!$B:$B,0))),1,0))</f>
        <v/>
      </c>
      <c r="E470" s="2" t="str">
        <f>IF($G470="","",IF(AND(OR($O470="Junior",$O470="Woman Junior",$O470="Youth",$O470="Woman Youth"),ISERROR(MATCH($N470,Lge_Junior!$B:$B,0))),1,0))</f>
        <v/>
      </c>
      <c r="F470" s="2" t="str">
        <f>IF($G470="","",IF(AND(LEFT($O470,3)="You",ISERROR(MATCH($N470,Lge_Youth!$B:$B,0))),1,0))</f>
        <v/>
      </c>
      <c r="G470" s="3"/>
      <c r="H470" s="3"/>
      <c r="I470" s="3"/>
      <c r="J470" s="3"/>
      <c r="K470" s="6"/>
      <c r="L470" s="4"/>
      <c r="M470" s="4"/>
      <c r="N470" s="8"/>
      <c r="O470" s="8"/>
      <c r="P470" s="9"/>
      <c r="Q470" s="8"/>
      <c r="R470" s="8"/>
      <c r="S470" s="9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10"/>
    </row>
    <row r="471" spans="1:39" x14ac:dyDescent="0.2">
      <c r="A471" s="2" t="str">
        <f>IF($G471="","",IF(ISERROR(MATCH($N471,Lge_Scratch!$B:$B,0)),1,0))</f>
        <v/>
      </c>
      <c r="B471" s="2" t="str">
        <f>IF($G471="","",IF(AND(LEFT($Q471,8)="Non-aero",ISERROR(MATCH($N471,Lge_NonAero!$B:$B,0))),1,0))</f>
        <v/>
      </c>
      <c r="C471" s="5" t="str">
        <f>IF($G471="","",IF(AND(LEFT($O471,3)="Wom",ISERROR(MATCH($N471,Lge_Women!$B:$B,0))),1,0))</f>
        <v/>
      </c>
      <c r="D471" s="2" t="str">
        <f>IF($G471="","",IF(AND(OR($O471="Vet",$O471="Woman Vet"),ISERROR(MATCH($N471,Lge_Vets!$B:$B,0))),1,0))</f>
        <v/>
      </c>
      <c r="E471" s="2" t="str">
        <f>IF($G471="","",IF(AND(OR($O471="Junior",$O471="Woman Junior",$O471="Youth",$O471="Woman Youth"),ISERROR(MATCH($N471,Lge_Junior!$B:$B,0))),1,0))</f>
        <v/>
      </c>
      <c r="F471" s="2" t="str">
        <f>IF($G471="","",IF(AND(LEFT($O471,3)="You",ISERROR(MATCH($N471,Lge_Youth!$B:$B,0))),1,0))</f>
        <v/>
      </c>
      <c r="G471" s="3"/>
      <c r="H471" s="3"/>
      <c r="I471" s="3"/>
      <c r="J471" s="3"/>
      <c r="K471" s="6"/>
      <c r="L471" s="4"/>
      <c r="M471" s="4"/>
      <c r="N471" s="8"/>
      <c r="O471" s="8"/>
      <c r="P471" s="9"/>
      <c r="Q471" s="8"/>
      <c r="R471" s="8"/>
      <c r="S471" s="9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10"/>
    </row>
    <row r="472" spans="1:39" x14ac:dyDescent="0.2">
      <c r="A472" s="2" t="str">
        <f>IF($G472="","",IF(ISERROR(MATCH($N472,Lge_Scratch!$B:$B,0)),1,0))</f>
        <v/>
      </c>
      <c r="B472" s="2" t="str">
        <f>IF($G472="","",IF(AND(LEFT($Q472,8)="Non-aero",ISERROR(MATCH($N472,Lge_NonAero!$B:$B,0))),1,0))</f>
        <v/>
      </c>
      <c r="C472" s="5" t="str">
        <f>IF($G472="","",IF(AND(LEFT($O472,3)="Wom",ISERROR(MATCH($N472,Lge_Women!$B:$B,0))),1,0))</f>
        <v/>
      </c>
      <c r="D472" s="2" t="str">
        <f>IF($G472="","",IF(AND(OR($O472="Vet",$O472="Woman Vet"),ISERROR(MATCH($N472,Lge_Vets!$B:$B,0))),1,0))</f>
        <v/>
      </c>
      <c r="E472" s="2" t="str">
        <f>IF($G472="","",IF(AND(OR($O472="Junior",$O472="Woman Junior",$O472="Youth",$O472="Woman Youth"),ISERROR(MATCH($N472,Lge_Junior!$B:$B,0))),1,0))</f>
        <v/>
      </c>
      <c r="F472" s="2" t="str">
        <f>IF($G472="","",IF(AND(LEFT($O472,3)="You",ISERROR(MATCH($N472,Lge_Youth!$B:$B,0))),1,0))</f>
        <v/>
      </c>
      <c r="G472" s="3"/>
      <c r="H472" s="3"/>
      <c r="I472" s="3"/>
      <c r="J472" s="3"/>
      <c r="K472" s="6"/>
      <c r="L472" s="4"/>
      <c r="M472" s="4"/>
      <c r="N472" s="8"/>
      <c r="O472" s="8"/>
      <c r="P472" s="9"/>
      <c r="Q472" s="8"/>
      <c r="R472" s="8"/>
      <c r="S472" s="9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10"/>
    </row>
    <row r="473" spans="1:39" x14ac:dyDescent="0.2">
      <c r="A473" s="2" t="str">
        <f>IF($G473="","",IF(ISERROR(MATCH($N473,Lge_Scratch!$B:$B,0)),1,0))</f>
        <v/>
      </c>
      <c r="B473" s="2" t="str">
        <f>IF($G473="","",IF(AND(LEFT($Q473,8)="Non-aero",ISERROR(MATCH($N473,Lge_NonAero!$B:$B,0))),1,0))</f>
        <v/>
      </c>
      <c r="C473" s="5" t="str">
        <f>IF($G473="","",IF(AND(LEFT($O473,3)="Wom",ISERROR(MATCH($N473,Lge_Women!$B:$B,0))),1,0))</f>
        <v/>
      </c>
      <c r="D473" s="2" t="str">
        <f>IF($G473="","",IF(AND(OR($O473="Vet",$O473="Woman Vet"),ISERROR(MATCH($N473,Lge_Vets!$B:$B,0))),1,0))</f>
        <v/>
      </c>
      <c r="E473" s="2" t="str">
        <f>IF($G473="","",IF(AND(OR($O473="Junior",$O473="Woman Junior",$O473="Youth",$O473="Woman Youth"),ISERROR(MATCH($N473,Lge_Junior!$B:$B,0))),1,0))</f>
        <v/>
      </c>
      <c r="F473" s="2" t="str">
        <f>IF($G473="","",IF(AND(LEFT($O473,3)="You",ISERROR(MATCH($N473,Lge_Youth!$B:$B,0))),1,0))</f>
        <v/>
      </c>
      <c r="G473" s="3"/>
      <c r="H473" s="3"/>
      <c r="I473" s="3"/>
      <c r="J473" s="3"/>
      <c r="K473" s="6"/>
      <c r="L473" s="4"/>
      <c r="M473" s="4"/>
      <c r="N473" s="8"/>
      <c r="O473" s="8"/>
      <c r="P473" s="9"/>
      <c r="Q473" s="8"/>
      <c r="R473" s="8"/>
      <c r="S473" s="9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10"/>
    </row>
    <row r="474" spans="1:39" x14ac:dyDescent="0.2">
      <c r="A474" s="2" t="str">
        <f>IF($G474="","",IF(ISERROR(MATCH($N474,Lge_Scratch!$B:$B,0)),1,0))</f>
        <v/>
      </c>
      <c r="B474" s="2" t="str">
        <f>IF($G474="","",IF(AND(LEFT($Q474,8)="Non-aero",ISERROR(MATCH($N474,Lge_NonAero!$B:$B,0))),1,0))</f>
        <v/>
      </c>
      <c r="C474" s="5" t="str">
        <f>IF($G474="","",IF(AND(LEFT($O474,3)="Wom",ISERROR(MATCH($N474,Lge_Women!$B:$B,0))),1,0))</f>
        <v/>
      </c>
      <c r="D474" s="2" t="str">
        <f>IF($G474="","",IF(AND(OR($O474="Vet",$O474="Woman Vet"),ISERROR(MATCH($N474,Lge_Vets!$B:$B,0))),1,0))</f>
        <v/>
      </c>
      <c r="E474" s="2" t="str">
        <f>IF($G474="","",IF(AND(OR($O474="Junior",$O474="Woman Junior",$O474="Youth",$O474="Woman Youth"),ISERROR(MATCH($N474,Lge_Junior!$B:$B,0))),1,0))</f>
        <v/>
      </c>
      <c r="F474" s="2" t="str">
        <f>IF($G474="","",IF(AND(LEFT($O474,3)="You",ISERROR(MATCH($N474,Lge_Youth!$B:$B,0))),1,0))</f>
        <v/>
      </c>
      <c r="G474" s="3"/>
      <c r="H474" s="3"/>
      <c r="I474" s="3"/>
      <c r="J474" s="3"/>
      <c r="K474" s="6"/>
      <c r="L474" s="4"/>
      <c r="M474" s="4"/>
      <c r="N474" s="8"/>
      <c r="O474" s="8"/>
      <c r="P474" s="9"/>
      <c r="Q474" s="8"/>
      <c r="R474" s="8"/>
      <c r="S474" s="9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10"/>
    </row>
    <row r="475" spans="1:39" x14ac:dyDescent="0.2">
      <c r="A475" s="2" t="str">
        <f>IF($G475="","",IF(ISERROR(MATCH($N475,Lge_Scratch!$B:$B,0)),1,0))</f>
        <v/>
      </c>
      <c r="B475" s="2" t="str">
        <f>IF($G475="","",IF(AND(LEFT($Q475,8)="Non-aero",ISERROR(MATCH($N475,Lge_NonAero!$B:$B,0))),1,0))</f>
        <v/>
      </c>
      <c r="C475" s="5" t="str">
        <f>IF($G475="","",IF(AND(LEFT($O475,3)="Wom",ISERROR(MATCH($N475,Lge_Women!$B:$B,0))),1,0))</f>
        <v/>
      </c>
      <c r="D475" s="2" t="str">
        <f>IF($G475="","",IF(AND(OR($O475="Vet",$O475="Woman Vet"),ISERROR(MATCH($N475,Lge_Vets!$B:$B,0))),1,0))</f>
        <v/>
      </c>
      <c r="E475" s="2" t="str">
        <f>IF($G475="","",IF(AND(OR($O475="Junior",$O475="Woman Junior",$O475="Youth",$O475="Woman Youth"),ISERROR(MATCH($N475,Lge_Junior!$B:$B,0))),1,0))</f>
        <v/>
      </c>
      <c r="F475" s="2" t="str">
        <f>IF($G475="","",IF(AND(LEFT($O475,3)="You",ISERROR(MATCH($N475,Lge_Youth!$B:$B,0))),1,0))</f>
        <v/>
      </c>
      <c r="G475" s="3"/>
      <c r="H475" s="3"/>
      <c r="I475" s="3"/>
      <c r="J475" s="3"/>
      <c r="K475" s="6"/>
      <c r="L475" s="4"/>
      <c r="M475" s="4"/>
      <c r="N475" s="8"/>
      <c r="O475" s="8"/>
      <c r="P475" s="9"/>
      <c r="Q475" s="8"/>
      <c r="R475" s="8"/>
      <c r="S475" s="9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10"/>
    </row>
    <row r="476" spans="1:39" x14ac:dyDescent="0.2">
      <c r="A476" s="2" t="str">
        <f>IF($G476="","",IF(ISERROR(MATCH($N476,Lge_Scratch!$B:$B,0)),1,0))</f>
        <v/>
      </c>
      <c r="B476" s="2" t="str">
        <f>IF($G476="","",IF(AND(LEFT($Q476,8)="Non-aero",ISERROR(MATCH($N476,Lge_NonAero!$B:$B,0))),1,0))</f>
        <v/>
      </c>
      <c r="C476" s="5" t="str">
        <f>IF($G476="","",IF(AND(LEFT($O476,3)="Wom",ISERROR(MATCH($N476,Lge_Women!$B:$B,0))),1,0))</f>
        <v/>
      </c>
      <c r="D476" s="2" t="str">
        <f>IF($G476="","",IF(AND(OR($O476="Vet",$O476="Woman Vet"),ISERROR(MATCH($N476,Lge_Vets!$B:$B,0))),1,0))</f>
        <v/>
      </c>
      <c r="E476" s="2" t="str">
        <f>IF($G476="","",IF(AND(OR($O476="Junior",$O476="Woman Junior",$O476="Youth",$O476="Woman Youth"),ISERROR(MATCH($N476,Lge_Junior!$B:$B,0))),1,0))</f>
        <v/>
      </c>
      <c r="F476" s="2" t="str">
        <f>IF($G476="","",IF(AND(LEFT($O476,3)="You",ISERROR(MATCH($N476,Lge_Youth!$B:$B,0))),1,0))</f>
        <v/>
      </c>
      <c r="G476" s="3"/>
      <c r="H476" s="3"/>
      <c r="I476" s="3"/>
      <c r="J476" s="3"/>
      <c r="K476" s="6"/>
      <c r="L476" s="4"/>
      <c r="M476" s="4"/>
      <c r="N476" s="8"/>
      <c r="O476" s="8"/>
      <c r="P476" s="9"/>
      <c r="Q476" s="8"/>
      <c r="R476" s="8"/>
      <c r="S476" s="9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10"/>
    </row>
    <row r="477" spans="1:39" x14ac:dyDescent="0.2">
      <c r="A477" s="2" t="str">
        <f>IF($G477="","",IF(ISERROR(MATCH($N477,Lge_Scratch!$B:$B,0)),1,0))</f>
        <v/>
      </c>
      <c r="B477" s="2" t="str">
        <f>IF($G477="","",IF(AND(LEFT($Q477,8)="Non-aero",ISERROR(MATCH($N477,Lge_NonAero!$B:$B,0))),1,0))</f>
        <v/>
      </c>
      <c r="C477" s="5" t="str">
        <f>IF($G477="","",IF(AND(LEFT($O477,3)="Wom",ISERROR(MATCH($N477,Lge_Women!$B:$B,0))),1,0))</f>
        <v/>
      </c>
      <c r="D477" s="2" t="str">
        <f>IF($G477="","",IF(AND(OR($O477="Vet",$O477="Woman Vet"),ISERROR(MATCH($N477,Lge_Vets!$B:$B,0))),1,0))</f>
        <v/>
      </c>
      <c r="E477" s="2" t="str">
        <f>IF($G477="","",IF(AND(OR($O477="Junior",$O477="Woman Junior",$O477="Youth",$O477="Woman Youth"),ISERROR(MATCH($N477,Lge_Junior!$B:$B,0))),1,0))</f>
        <v/>
      </c>
      <c r="F477" s="2" t="str">
        <f>IF($G477="","",IF(AND(LEFT($O477,3)="You",ISERROR(MATCH($N477,Lge_Youth!$B:$B,0))),1,0))</f>
        <v/>
      </c>
      <c r="G477" s="3"/>
      <c r="H477" s="3"/>
      <c r="I477" s="3"/>
      <c r="J477" s="3"/>
      <c r="K477" s="6"/>
      <c r="L477" s="4"/>
      <c r="M477" s="4"/>
      <c r="N477" s="8"/>
      <c r="O477" s="8"/>
      <c r="P477" s="9"/>
      <c r="Q477" s="8"/>
      <c r="R477" s="8"/>
      <c r="S477" s="9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10"/>
    </row>
    <row r="478" spans="1:39" x14ac:dyDescent="0.2">
      <c r="A478" s="2" t="str">
        <f>IF($G478="","",IF(ISERROR(MATCH($N478,Lge_Scratch!$B:$B,0)),1,0))</f>
        <v/>
      </c>
      <c r="B478" s="2" t="str">
        <f>IF($G478="","",IF(AND(LEFT($Q478,8)="Non-aero",ISERROR(MATCH($N478,Lge_NonAero!$B:$B,0))),1,0))</f>
        <v/>
      </c>
      <c r="C478" s="5" t="str">
        <f>IF($G478="","",IF(AND(LEFT($O478,3)="Wom",ISERROR(MATCH($N478,Lge_Women!$B:$B,0))),1,0))</f>
        <v/>
      </c>
      <c r="D478" s="2" t="str">
        <f>IF($G478="","",IF(AND(OR($O478="Vet",$O478="Woman Vet"),ISERROR(MATCH($N478,Lge_Vets!$B:$B,0))),1,0))</f>
        <v/>
      </c>
      <c r="E478" s="2" t="str">
        <f>IF($G478="","",IF(AND(OR($O478="Junior",$O478="Woman Junior",$O478="Youth",$O478="Woman Youth"),ISERROR(MATCH($N478,Lge_Junior!$B:$B,0))),1,0))</f>
        <v/>
      </c>
      <c r="F478" s="2" t="str">
        <f>IF($G478="","",IF(AND(LEFT($O478,3)="You",ISERROR(MATCH($N478,Lge_Youth!$B:$B,0))),1,0))</f>
        <v/>
      </c>
      <c r="G478" s="3"/>
      <c r="H478" s="3"/>
      <c r="I478" s="3"/>
      <c r="J478" s="3"/>
      <c r="K478" s="6"/>
      <c r="L478" s="4"/>
      <c r="M478" s="4"/>
      <c r="N478" s="8"/>
      <c r="O478" s="8"/>
      <c r="P478" s="9"/>
      <c r="Q478" s="8"/>
      <c r="R478" s="8"/>
      <c r="S478" s="9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10"/>
    </row>
    <row r="479" spans="1:39" x14ac:dyDescent="0.2">
      <c r="A479" s="2" t="str">
        <f>IF($G479="","",IF(ISERROR(MATCH($N479,Lge_Scratch!$B:$B,0)),1,0))</f>
        <v/>
      </c>
      <c r="B479" s="2" t="str">
        <f>IF($G479="","",IF(AND(LEFT($Q479,8)="Non-aero",ISERROR(MATCH($N479,Lge_NonAero!$B:$B,0))),1,0))</f>
        <v/>
      </c>
      <c r="C479" s="5" t="str">
        <f>IF($G479="","",IF(AND(LEFT($O479,3)="Wom",ISERROR(MATCH($N479,Lge_Women!$B:$B,0))),1,0))</f>
        <v/>
      </c>
      <c r="D479" s="2" t="str">
        <f>IF($G479="","",IF(AND(OR($O479="Vet",$O479="Woman Vet"),ISERROR(MATCH($N479,Lge_Vets!$B:$B,0))),1,0))</f>
        <v/>
      </c>
      <c r="E479" s="2" t="str">
        <f>IF($G479="","",IF(AND(OR($O479="Junior",$O479="Woman Junior",$O479="Youth",$O479="Woman Youth"),ISERROR(MATCH($N479,Lge_Junior!$B:$B,0))),1,0))</f>
        <v/>
      </c>
      <c r="F479" s="2" t="str">
        <f>IF($G479="","",IF(AND(LEFT($O479,3)="You",ISERROR(MATCH($N479,Lge_Youth!$B:$B,0))),1,0))</f>
        <v/>
      </c>
      <c r="G479" s="3"/>
      <c r="H479" s="3"/>
      <c r="I479" s="3"/>
      <c r="J479" s="3"/>
      <c r="K479" s="6"/>
      <c r="L479" s="4"/>
      <c r="M479" s="4"/>
      <c r="N479" s="8"/>
      <c r="O479" s="8"/>
      <c r="P479" s="9"/>
      <c r="Q479" s="8"/>
      <c r="R479" s="8"/>
      <c r="S479" s="9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10"/>
    </row>
    <row r="480" spans="1:39" x14ac:dyDescent="0.2">
      <c r="A480" s="2" t="str">
        <f>IF($G480="","",IF(ISERROR(MATCH($N480,Lge_Scratch!$B:$B,0)),1,0))</f>
        <v/>
      </c>
      <c r="B480" s="2" t="str">
        <f>IF($G480="","",IF(AND(LEFT($Q480,8)="Non-aero",ISERROR(MATCH($N480,Lge_NonAero!$B:$B,0))),1,0))</f>
        <v/>
      </c>
      <c r="C480" s="5" t="str">
        <f>IF($G480="","",IF(AND(LEFT($O480,3)="Wom",ISERROR(MATCH($N480,Lge_Women!$B:$B,0))),1,0))</f>
        <v/>
      </c>
      <c r="D480" s="2" t="str">
        <f>IF($G480="","",IF(AND(OR($O480="Vet",$O480="Woman Vet"),ISERROR(MATCH($N480,Lge_Vets!$B:$B,0))),1,0))</f>
        <v/>
      </c>
      <c r="E480" s="2" t="str">
        <f>IF($G480="","",IF(AND(OR($O480="Junior",$O480="Woman Junior",$O480="Youth",$O480="Woman Youth"),ISERROR(MATCH($N480,Lge_Junior!$B:$B,0))),1,0))</f>
        <v/>
      </c>
      <c r="F480" s="2" t="str">
        <f>IF($G480="","",IF(AND(LEFT($O480,3)="You",ISERROR(MATCH($N480,Lge_Youth!$B:$B,0))),1,0))</f>
        <v/>
      </c>
      <c r="G480" s="3"/>
      <c r="H480" s="3"/>
      <c r="I480" s="3"/>
      <c r="J480" s="3"/>
      <c r="K480" s="6"/>
      <c r="L480" s="4"/>
      <c r="M480" s="4"/>
      <c r="N480" s="8"/>
      <c r="O480" s="8"/>
      <c r="P480" s="9"/>
      <c r="Q480" s="8"/>
      <c r="R480" s="8"/>
      <c r="S480" s="9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10"/>
    </row>
    <row r="481" spans="1:39" x14ac:dyDescent="0.2">
      <c r="A481" s="2" t="str">
        <f>IF($G481="","",IF(ISERROR(MATCH($N481,Lge_Scratch!$B:$B,0)),1,0))</f>
        <v/>
      </c>
      <c r="B481" s="2" t="str">
        <f>IF($G481="","",IF(AND(LEFT($Q481,8)="Non-aero",ISERROR(MATCH($N481,Lge_NonAero!$B:$B,0))),1,0))</f>
        <v/>
      </c>
      <c r="C481" s="5" t="str">
        <f>IF($G481="","",IF(AND(LEFT($O481,3)="Wom",ISERROR(MATCH($N481,Lge_Women!$B:$B,0))),1,0))</f>
        <v/>
      </c>
      <c r="D481" s="2" t="str">
        <f>IF($G481="","",IF(AND(OR($O481="Vet",$O481="Woman Vet"),ISERROR(MATCH($N481,Lge_Vets!$B:$B,0))),1,0))</f>
        <v/>
      </c>
      <c r="E481" s="2" t="str">
        <f>IF($G481="","",IF(AND(OR($O481="Junior",$O481="Woman Junior",$O481="Youth",$O481="Woman Youth"),ISERROR(MATCH($N481,Lge_Junior!$B:$B,0))),1,0))</f>
        <v/>
      </c>
      <c r="F481" s="2" t="str">
        <f>IF($G481="","",IF(AND(LEFT($O481,3)="You",ISERROR(MATCH($N481,Lge_Youth!$B:$B,0))),1,0))</f>
        <v/>
      </c>
      <c r="G481" s="3"/>
      <c r="H481" s="3"/>
      <c r="I481" s="3"/>
      <c r="J481" s="3"/>
      <c r="K481" s="6"/>
      <c r="L481" s="4"/>
      <c r="M481" s="4"/>
      <c r="N481" s="8"/>
      <c r="O481" s="8"/>
      <c r="P481" s="9"/>
      <c r="Q481" s="8"/>
      <c r="R481" s="8"/>
      <c r="S481" s="9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10"/>
    </row>
    <row r="482" spans="1:39" x14ac:dyDescent="0.2">
      <c r="A482" s="2" t="str">
        <f>IF($G482="","",IF(ISERROR(MATCH($N482,Lge_Scratch!$B:$B,0)),1,0))</f>
        <v/>
      </c>
      <c r="B482" s="2" t="str">
        <f>IF($G482="","",IF(AND(LEFT($Q482,8)="Non-aero",ISERROR(MATCH($N482,Lge_NonAero!$B:$B,0))),1,0))</f>
        <v/>
      </c>
      <c r="C482" s="5" t="str">
        <f>IF($G482="","",IF(AND(LEFT($O482,3)="Wom",ISERROR(MATCH($N482,Lge_Women!$B:$B,0))),1,0))</f>
        <v/>
      </c>
      <c r="D482" s="2" t="str">
        <f>IF($G482="","",IF(AND(OR($O482="Vet",$O482="Woman Vet"),ISERROR(MATCH($N482,Lge_Vets!$B:$B,0))),1,0))</f>
        <v/>
      </c>
      <c r="E482" s="2" t="str">
        <f>IF($G482="","",IF(AND(OR($O482="Junior",$O482="Woman Junior",$O482="Youth",$O482="Woman Youth"),ISERROR(MATCH($N482,Lge_Junior!$B:$B,0))),1,0))</f>
        <v/>
      </c>
      <c r="F482" s="2" t="str">
        <f>IF($G482="","",IF(AND(LEFT($O482,3)="You",ISERROR(MATCH($N482,Lge_Youth!$B:$B,0))),1,0))</f>
        <v/>
      </c>
      <c r="G482" s="3"/>
      <c r="H482" s="3"/>
      <c r="I482" s="3"/>
      <c r="J482" s="3"/>
      <c r="K482" s="6"/>
      <c r="L482" s="4"/>
      <c r="M482" s="4"/>
      <c r="N482" s="8"/>
      <c r="O482" s="8"/>
      <c r="P482" s="9"/>
      <c r="Q482" s="8"/>
      <c r="R482" s="8"/>
      <c r="S482" s="9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10"/>
    </row>
    <row r="483" spans="1:39" x14ac:dyDescent="0.2">
      <c r="A483" s="2" t="str">
        <f>IF($G483="","",IF(ISERROR(MATCH($N483,Lge_Scratch!$B:$B,0)),1,0))</f>
        <v/>
      </c>
      <c r="B483" s="2" t="str">
        <f>IF($G483="","",IF(AND(LEFT($Q483,8)="Non-aero",ISERROR(MATCH($N483,Lge_NonAero!$B:$B,0))),1,0))</f>
        <v/>
      </c>
      <c r="C483" s="5" t="str">
        <f>IF($G483="","",IF(AND(LEFT($O483,3)="Wom",ISERROR(MATCH($N483,Lge_Women!$B:$B,0))),1,0))</f>
        <v/>
      </c>
      <c r="D483" s="2" t="str">
        <f>IF($G483="","",IF(AND(OR($O483="Vet",$O483="Woman Vet"),ISERROR(MATCH($N483,Lge_Vets!$B:$B,0))),1,0))</f>
        <v/>
      </c>
      <c r="E483" s="2" t="str">
        <f>IF($G483="","",IF(AND(OR($O483="Junior",$O483="Woman Junior",$O483="Youth",$O483="Woman Youth"),ISERROR(MATCH($N483,Lge_Junior!$B:$B,0))),1,0))</f>
        <v/>
      </c>
      <c r="F483" s="2" t="str">
        <f>IF($G483="","",IF(AND(LEFT($O483,3)="You",ISERROR(MATCH($N483,Lge_Youth!$B:$B,0))),1,0))</f>
        <v/>
      </c>
      <c r="G483" s="3"/>
      <c r="H483" s="3"/>
      <c r="I483" s="3"/>
      <c r="J483" s="3"/>
      <c r="K483" s="6"/>
      <c r="L483" s="4"/>
      <c r="M483" s="4"/>
      <c r="N483" s="8"/>
      <c r="O483" s="8"/>
      <c r="P483" s="9"/>
      <c r="Q483" s="8"/>
      <c r="R483" s="8"/>
      <c r="S483" s="9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10"/>
    </row>
    <row r="484" spans="1:39" x14ac:dyDescent="0.2">
      <c r="A484" s="2" t="str">
        <f>IF($G484="","",IF(ISERROR(MATCH($N484,Lge_Scratch!$B:$B,0)),1,0))</f>
        <v/>
      </c>
      <c r="B484" s="2" t="str">
        <f>IF($G484="","",IF(AND(LEFT($Q484,8)="Non-aero",ISERROR(MATCH($N484,Lge_NonAero!$B:$B,0))),1,0))</f>
        <v/>
      </c>
      <c r="C484" s="5" t="str">
        <f>IF($G484="","",IF(AND(LEFT($O484,3)="Wom",ISERROR(MATCH($N484,Lge_Women!$B:$B,0))),1,0))</f>
        <v/>
      </c>
      <c r="D484" s="2" t="str">
        <f>IF($G484="","",IF(AND(OR($O484="Vet",$O484="Woman Vet"),ISERROR(MATCH($N484,Lge_Vets!$B:$B,0))),1,0))</f>
        <v/>
      </c>
      <c r="E484" s="2" t="str">
        <f>IF($G484="","",IF(AND(OR($O484="Junior",$O484="Woman Junior",$O484="Youth",$O484="Woman Youth"),ISERROR(MATCH($N484,Lge_Junior!$B:$B,0))),1,0))</f>
        <v/>
      </c>
      <c r="F484" s="2" t="str">
        <f>IF($G484="","",IF(AND(LEFT($O484,3)="You",ISERROR(MATCH($N484,Lge_Youth!$B:$B,0))),1,0))</f>
        <v/>
      </c>
      <c r="G484" s="3"/>
      <c r="H484" s="3"/>
      <c r="I484" s="3"/>
      <c r="J484" s="3"/>
      <c r="K484" s="6"/>
      <c r="L484" s="4"/>
      <c r="M484" s="4"/>
      <c r="N484" s="8"/>
      <c r="O484" s="8"/>
      <c r="P484" s="9"/>
      <c r="Q484" s="8"/>
      <c r="R484" s="8"/>
      <c r="S484" s="9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10"/>
    </row>
    <row r="485" spans="1:39" x14ac:dyDescent="0.2">
      <c r="A485" s="2" t="str">
        <f>IF($G485="","",IF(ISERROR(MATCH($N485,Lge_Scratch!$B:$B,0)),1,0))</f>
        <v/>
      </c>
      <c r="B485" s="2" t="str">
        <f>IF($G485="","",IF(AND(LEFT($Q485,8)="Non-aero",ISERROR(MATCH($N485,Lge_NonAero!$B:$B,0))),1,0))</f>
        <v/>
      </c>
      <c r="C485" s="5" t="str">
        <f>IF($G485="","",IF(AND(LEFT($O485,3)="Wom",ISERROR(MATCH($N485,Lge_Women!$B:$B,0))),1,0))</f>
        <v/>
      </c>
      <c r="D485" s="2" t="str">
        <f>IF($G485="","",IF(AND(OR($O485="Vet",$O485="Woman Vet"),ISERROR(MATCH($N485,Lge_Vets!$B:$B,0))),1,0))</f>
        <v/>
      </c>
      <c r="E485" s="2" t="str">
        <f>IF($G485="","",IF(AND(OR($O485="Junior",$O485="Woman Junior",$O485="Youth",$O485="Woman Youth"),ISERROR(MATCH($N485,Lge_Junior!$B:$B,0))),1,0))</f>
        <v/>
      </c>
      <c r="F485" s="2" t="str">
        <f>IF($G485="","",IF(AND(LEFT($O485,3)="You",ISERROR(MATCH($N485,Lge_Youth!$B:$B,0))),1,0))</f>
        <v/>
      </c>
      <c r="G485" s="3"/>
      <c r="H485" s="3"/>
      <c r="I485" s="3"/>
      <c r="J485" s="3"/>
      <c r="K485" s="6"/>
      <c r="L485" s="4"/>
      <c r="M485" s="4"/>
      <c r="N485" s="8"/>
      <c r="O485" s="8"/>
      <c r="P485" s="9"/>
      <c r="Q485" s="8"/>
      <c r="R485" s="8"/>
      <c r="S485" s="9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10"/>
    </row>
    <row r="486" spans="1:39" x14ac:dyDescent="0.2">
      <c r="A486" s="2" t="str">
        <f>IF($G486="","",IF(ISERROR(MATCH($N486,Lge_Scratch!$B:$B,0)),1,0))</f>
        <v/>
      </c>
      <c r="B486" s="2" t="str">
        <f>IF($G486="","",IF(AND(LEFT($Q486,8)="Non-aero",ISERROR(MATCH($N486,Lge_NonAero!$B:$B,0))),1,0))</f>
        <v/>
      </c>
      <c r="C486" s="5" t="str">
        <f>IF($G486="","",IF(AND(LEFT($O486,3)="Wom",ISERROR(MATCH($N486,Lge_Women!$B:$B,0))),1,0))</f>
        <v/>
      </c>
      <c r="D486" s="2" t="str">
        <f>IF($G486="","",IF(AND(OR($O486="Vet",$O486="Woman Vet"),ISERROR(MATCH($N486,Lge_Vets!$B:$B,0))),1,0))</f>
        <v/>
      </c>
      <c r="E486" s="2" t="str">
        <f>IF($G486="","",IF(AND(OR($O486="Junior",$O486="Woman Junior",$O486="Youth",$O486="Woman Youth"),ISERROR(MATCH($N486,Lge_Junior!$B:$B,0))),1,0))</f>
        <v/>
      </c>
      <c r="F486" s="2" t="str">
        <f>IF($G486="","",IF(AND(LEFT($O486,3)="You",ISERROR(MATCH($N486,Lge_Youth!$B:$B,0))),1,0))</f>
        <v/>
      </c>
      <c r="G486" s="3"/>
      <c r="H486" s="3"/>
      <c r="I486" s="3"/>
      <c r="J486" s="3"/>
      <c r="K486" s="6"/>
      <c r="L486" s="4"/>
      <c r="M486" s="4"/>
      <c r="N486" s="8"/>
      <c r="O486" s="8"/>
      <c r="P486" s="9"/>
      <c r="Q486" s="8"/>
      <c r="R486" s="8"/>
      <c r="S486" s="9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10"/>
    </row>
    <row r="487" spans="1:39" x14ac:dyDescent="0.2">
      <c r="A487" s="2" t="str">
        <f>IF($G487="","",IF(ISERROR(MATCH($N487,Lge_Scratch!$B:$B,0)),1,0))</f>
        <v/>
      </c>
      <c r="B487" s="2" t="str">
        <f>IF($G487="","",IF(AND(LEFT($Q487,8)="Non-aero",ISERROR(MATCH($N487,Lge_NonAero!$B:$B,0))),1,0))</f>
        <v/>
      </c>
      <c r="C487" s="5" t="str">
        <f>IF($G487="","",IF(AND(LEFT($O487,3)="Wom",ISERROR(MATCH($N487,Lge_Women!$B:$B,0))),1,0))</f>
        <v/>
      </c>
      <c r="D487" s="2" t="str">
        <f>IF($G487="","",IF(AND(OR($O487="Vet",$O487="Woman Vet"),ISERROR(MATCH($N487,Lge_Vets!$B:$B,0))),1,0))</f>
        <v/>
      </c>
      <c r="E487" s="2" t="str">
        <f>IF($G487="","",IF(AND(OR($O487="Junior",$O487="Woman Junior",$O487="Youth",$O487="Woman Youth"),ISERROR(MATCH($N487,Lge_Junior!$B:$B,0))),1,0))</f>
        <v/>
      </c>
      <c r="F487" s="2" t="str">
        <f>IF($G487="","",IF(AND(LEFT($O487,3)="You",ISERROR(MATCH($N487,Lge_Youth!$B:$B,0))),1,0))</f>
        <v/>
      </c>
      <c r="G487" s="3"/>
      <c r="H487" s="3"/>
      <c r="I487" s="3"/>
      <c r="J487" s="3"/>
      <c r="K487" s="6"/>
      <c r="L487" s="4"/>
      <c r="M487" s="4"/>
      <c r="N487" s="8"/>
      <c r="O487" s="8"/>
      <c r="P487" s="9"/>
      <c r="Q487" s="8"/>
      <c r="R487" s="8"/>
      <c r="S487" s="9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10"/>
    </row>
    <row r="488" spans="1:39" x14ac:dyDescent="0.2">
      <c r="A488" s="2" t="str">
        <f>IF($G488="","",IF(ISERROR(MATCH($N488,Lge_Scratch!$B:$B,0)),1,0))</f>
        <v/>
      </c>
      <c r="B488" s="2" t="str">
        <f>IF($G488="","",IF(AND(LEFT($Q488,8)="Non-aero",ISERROR(MATCH($N488,Lge_NonAero!$B:$B,0))),1,0))</f>
        <v/>
      </c>
      <c r="C488" s="5" t="str">
        <f>IF($G488="","",IF(AND(LEFT($O488,3)="Wom",ISERROR(MATCH($N488,Lge_Women!$B:$B,0))),1,0))</f>
        <v/>
      </c>
      <c r="D488" s="2" t="str">
        <f>IF($G488="","",IF(AND(OR($O488="Vet",$O488="Woman Vet"),ISERROR(MATCH($N488,Lge_Vets!$B:$B,0))),1,0))</f>
        <v/>
      </c>
      <c r="E488" s="2" t="str">
        <f>IF($G488="","",IF(AND(OR($O488="Junior",$O488="Woman Junior",$O488="Youth",$O488="Woman Youth"),ISERROR(MATCH($N488,Lge_Junior!$B:$B,0))),1,0))</f>
        <v/>
      </c>
      <c r="F488" s="2" t="str">
        <f>IF($G488="","",IF(AND(LEFT($O488,3)="You",ISERROR(MATCH($N488,Lge_Youth!$B:$B,0))),1,0))</f>
        <v/>
      </c>
      <c r="G488" s="3"/>
      <c r="H488" s="3"/>
      <c r="I488" s="3"/>
      <c r="J488" s="3"/>
      <c r="K488" s="6"/>
      <c r="L488" s="4"/>
      <c r="M488" s="4"/>
      <c r="N488" s="8"/>
      <c r="O488" s="8"/>
      <c r="P488" s="9"/>
      <c r="Q488" s="8"/>
      <c r="R488" s="8"/>
      <c r="S488" s="9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10"/>
    </row>
    <row r="489" spans="1:39" x14ac:dyDescent="0.2">
      <c r="A489" s="2" t="str">
        <f>IF($G489="","",IF(ISERROR(MATCH($N489,Lge_Scratch!$B:$B,0)),1,0))</f>
        <v/>
      </c>
      <c r="B489" s="2" t="str">
        <f>IF($G489="","",IF(AND(LEFT($Q489,8)="Non-aero",ISERROR(MATCH($N489,Lge_NonAero!$B:$B,0))),1,0))</f>
        <v/>
      </c>
      <c r="C489" s="5" t="str">
        <f>IF($G489="","",IF(AND(LEFT($O489,3)="Wom",ISERROR(MATCH($N489,Lge_Women!$B:$B,0))),1,0))</f>
        <v/>
      </c>
      <c r="D489" s="2" t="str">
        <f>IF($G489="","",IF(AND(OR($O489="Vet",$O489="Woman Vet"),ISERROR(MATCH($N489,Lge_Vets!$B:$B,0))),1,0))</f>
        <v/>
      </c>
      <c r="E489" s="2" t="str">
        <f>IF($G489="","",IF(AND(OR($O489="Junior",$O489="Woman Junior",$O489="Youth",$O489="Woman Youth"),ISERROR(MATCH($N489,Lge_Junior!$B:$B,0))),1,0))</f>
        <v/>
      </c>
      <c r="F489" s="2" t="str">
        <f>IF($G489="","",IF(AND(LEFT($O489,3)="You",ISERROR(MATCH($N489,Lge_Youth!$B:$B,0))),1,0))</f>
        <v/>
      </c>
      <c r="G489" s="3"/>
      <c r="H489" s="3"/>
      <c r="I489" s="3"/>
      <c r="J489" s="3"/>
      <c r="K489" s="6"/>
      <c r="L489" s="4"/>
      <c r="M489" s="4"/>
      <c r="N489" s="8"/>
      <c r="O489" s="8"/>
      <c r="P489" s="9"/>
      <c r="Q489" s="8"/>
      <c r="R489" s="8"/>
      <c r="S489" s="9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10"/>
    </row>
    <row r="490" spans="1:39" x14ac:dyDescent="0.2">
      <c r="A490" s="2" t="str">
        <f>IF($G490="","",IF(ISERROR(MATCH($N490,Lge_Scratch!$B:$B,0)),1,0))</f>
        <v/>
      </c>
      <c r="B490" s="2" t="str">
        <f>IF($G490="","",IF(AND(LEFT($Q490,8)="Non-aero",ISERROR(MATCH($N490,Lge_NonAero!$B:$B,0))),1,0))</f>
        <v/>
      </c>
      <c r="C490" s="5" t="str">
        <f>IF($G490="","",IF(AND(LEFT($O490,3)="Wom",ISERROR(MATCH($N490,Lge_Women!$B:$B,0))),1,0))</f>
        <v/>
      </c>
      <c r="D490" s="2" t="str">
        <f>IF($G490="","",IF(AND(OR($O490="Vet",$O490="Woman Vet"),ISERROR(MATCH($N490,Lge_Vets!$B:$B,0))),1,0))</f>
        <v/>
      </c>
      <c r="E490" s="2" t="str">
        <f>IF($G490="","",IF(AND(OR($O490="Junior",$O490="Woman Junior",$O490="Youth",$O490="Woman Youth"),ISERROR(MATCH($N490,Lge_Junior!$B:$B,0))),1,0))</f>
        <v/>
      </c>
      <c r="F490" s="2" t="str">
        <f>IF($G490="","",IF(AND(LEFT($O490,3)="You",ISERROR(MATCH($N490,Lge_Youth!$B:$B,0))),1,0))</f>
        <v/>
      </c>
      <c r="G490" s="3"/>
      <c r="H490" s="3"/>
      <c r="I490" s="3"/>
      <c r="J490" s="3"/>
      <c r="K490" s="6"/>
      <c r="L490" s="4"/>
      <c r="M490" s="4"/>
      <c r="N490" s="8"/>
      <c r="O490" s="8"/>
      <c r="P490" s="9"/>
      <c r="Q490" s="8"/>
      <c r="R490" s="8"/>
      <c r="S490" s="9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10"/>
    </row>
    <row r="491" spans="1:39" x14ac:dyDescent="0.2">
      <c r="A491" s="2" t="str">
        <f>IF($G491="","",IF(ISERROR(MATCH($N491,Lge_Scratch!$B:$B,0)),1,0))</f>
        <v/>
      </c>
      <c r="B491" s="2" t="str">
        <f>IF($G491="","",IF(AND(LEFT($Q491,8)="Non-aero",ISERROR(MATCH($N491,Lge_NonAero!$B:$B,0))),1,0))</f>
        <v/>
      </c>
      <c r="C491" s="5" t="str">
        <f>IF($G491="","",IF(AND(LEFT($O491,3)="Wom",ISERROR(MATCH($N491,Lge_Women!$B:$B,0))),1,0))</f>
        <v/>
      </c>
      <c r="D491" s="2" t="str">
        <f>IF($G491="","",IF(AND(OR($O491="Vet",$O491="Woman Vet"),ISERROR(MATCH($N491,Lge_Vets!$B:$B,0))),1,0))</f>
        <v/>
      </c>
      <c r="E491" s="2" t="str">
        <f>IF($G491="","",IF(AND(OR($O491="Junior",$O491="Woman Junior",$O491="Youth",$O491="Woman Youth"),ISERROR(MATCH($N491,Lge_Junior!$B:$B,0))),1,0))</f>
        <v/>
      </c>
      <c r="F491" s="2" t="str">
        <f>IF($G491="","",IF(AND(LEFT($O491,3)="You",ISERROR(MATCH($N491,Lge_Youth!$B:$B,0))),1,0))</f>
        <v/>
      </c>
      <c r="G491" s="3"/>
      <c r="H491" s="3"/>
      <c r="I491" s="3"/>
      <c r="J491" s="3"/>
      <c r="K491" s="6"/>
      <c r="L491" s="4"/>
      <c r="M491" s="4"/>
      <c r="N491" s="8"/>
      <c r="O491" s="8"/>
      <c r="P491" s="9"/>
      <c r="Q491" s="8"/>
      <c r="R491" s="8"/>
      <c r="S491" s="9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10"/>
    </row>
    <row r="492" spans="1:39" x14ac:dyDescent="0.2">
      <c r="A492" s="2" t="str">
        <f>IF($G492="","",IF(ISERROR(MATCH($N492,Lge_Scratch!$B:$B,0)),1,0))</f>
        <v/>
      </c>
      <c r="B492" s="2" t="str">
        <f>IF($G492="","",IF(AND(LEFT($Q492,8)="Non-aero",ISERROR(MATCH($N492,Lge_NonAero!$B:$B,0))),1,0))</f>
        <v/>
      </c>
      <c r="C492" s="5" t="str">
        <f>IF($G492="","",IF(AND(LEFT($O492,3)="Wom",ISERROR(MATCH($N492,Lge_Women!$B:$B,0))),1,0))</f>
        <v/>
      </c>
      <c r="D492" s="2" t="str">
        <f>IF($G492="","",IF(AND(OR($O492="Vet",$O492="Woman Vet"),ISERROR(MATCH($N492,Lge_Vets!$B:$B,0))),1,0))</f>
        <v/>
      </c>
      <c r="E492" s="2" t="str">
        <f>IF($G492="","",IF(AND(OR($O492="Junior",$O492="Woman Junior",$O492="Youth",$O492="Woman Youth"),ISERROR(MATCH($N492,Lge_Junior!$B:$B,0))),1,0))</f>
        <v/>
      </c>
      <c r="F492" s="2" t="str">
        <f>IF($G492="","",IF(AND(LEFT($O492,3)="You",ISERROR(MATCH($N492,Lge_Youth!$B:$B,0))),1,0))</f>
        <v/>
      </c>
      <c r="G492" s="3"/>
      <c r="H492" s="3"/>
      <c r="I492" s="3"/>
      <c r="J492" s="3"/>
      <c r="K492" s="6"/>
      <c r="L492" s="4"/>
      <c r="M492" s="4"/>
      <c r="N492" s="8"/>
      <c r="O492" s="8"/>
      <c r="P492" s="9"/>
      <c r="Q492" s="8"/>
      <c r="R492" s="8"/>
      <c r="S492" s="9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10"/>
    </row>
    <row r="493" spans="1:39" x14ac:dyDescent="0.2">
      <c r="A493" s="2" t="str">
        <f>IF($G493="","",IF(ISERROR(MATCH($N493,Lge_Scratch!$B:$B,0)),1,0))</f>
        <v/>
      </c>
      <c r="B493" s="2" t="str">
        <f>IF($G493="","",IF(AND(LEFT($Q493,8)="Non-aero",ISERROR(MATCH($N493,Lge_NonAero!$B:$B,0))),1,0))</f>
        <v/>
      </c>
      <c r="C493" s="5" t="str">
        <f>IF($G493="","",IF(AND(LEFT($O493,3)="Wom",ISERROR(MATCH($N493,Lge_Women!$B:$B,0))),1,0))</f>
        <v/>
      </c>
      <c r="D493" s="2" t="str">
        <f>IF($G493="","",IF(AND(OR($O493="Vet",$O493="Woman Vet"),ISERROR(MATCH($N493,Lge_Vets!$B:$B,0))),1,0))</f>
        <v/>
      </c>
      <c r="E493" s="2" t="str">
        <f>IF($G493="","",IF(AND(OR($O493="Junior",$O493="Woman Junior",$O493="Youth",$O493="Woman Youth"),ISERROR(MATCH($N493,Lge_Junior!$B:$B,0))),1,0))</f>
        <v/>
      </c>
      <c r="F493" s="2" t="str">
        <f>IF($G493="","",IF(AND(LEFT($O493,3)="You",ISERROR(MATCH($N493,Lge_Youth!$B:$B,0))),1,0))</f>
        <v/>
      </c>
      <c r="G493" s="3"/>
      <c r="H493" s="3"/>
      <c r="I493" s="3"/>
      <c r="J493" s="3"/>
      <c r="K493" s="6"/>
      <c r="L493" s="4"/>
      <c r="M493" s="4"/>
      <c r="N493" s="8"/>
      <c r="O493" s="8"/>
      <c r="P493" s="9"/>
      <c r="Q493" s="8"/>
      <c r="R493" s="8"/>
      <c r="S493" s="9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10"/>
    </row>
    <row r="494" spans="1:39" x14ac:dyDescent="0.2">
      <c r="A494" s="2" t="str">
        <f>IF($G494="","",IF(ISERROR(MATCH($N494,Lge_Scratch!$B:$B,0)),1,0))</f>
        <v/>
      </c>
      <c r="B494" s="2" t="str">
        <f>IF($G494="","",IF(AND(LEFT($Q494,8)="Non-aero",ISERROR(MATCH($N494,Lge_NonAero!$B:$B,0))),1,0))</f>
        <v/>
      </c>
      <c r="C494" s="5" t="str">
        <f>IF($G494="","",IF(AND(LEFT($O494,3)="Wom",ISERROR(MATCH($N494,Lge_Women!$B:$B,0))),1,0))</f>
        <v/>
      </c>
      <c r="D494" s="2" t="str">
        <f>IF($G494="","",IF(AND(OR($O494="Vet",$O494="Woman Vet"),ISERROR(MATCH($N494,Lge_Vets!$B:$B,0))),1,0))</f>
        <v/>
      </c>
      <c r="E494" s="2" t="str">
        <f>IF($G494="","",IF(AND(OR($O494="Junior",$O494="Woman Junior",$O494="Youth",$O494="Woman Youth"),ISERROR(MATCH($N494,Lge_Junior!$B:$B,0))),1,0))</f>
        <v/>
      </c>
      <c r="F494" s="2" t="str">
        <f>IF($G494="","",IF(AND(LEFT($O494,3)="You",ISERROR(MATCH($N494,Lge_Youth!$B:$B,0))),1,0))</f>
        <v/>
      </c>
      <c r="G494" s="3"/>
      <c r="H494" s="3"/>
      <c r="I494" s="3"/>
      <c r="J494" s="3"/>
      <c r="K494" s="6"/>
      <c r="L494" s="4"/>
      <c r="M494" s="4"/>
      <c r="N494" s="8"/>
      <c r="O494" s="8"/>
      <c r="P494" s="9"/>
      <c r="Q494" s="8"/>
      <c r="R494" s="8"/>
      <c r="S494" s="9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10"/>
    </row>
    <row r="495" spans="1:39" x14ac:dyDescent="0.2">
      <c r="A495" s="2" t="str">
        <f>IF($G495="","",IF(ISERROR(MATCH($N495,Lge_Scratch!$B:$B,0)),1,0))</f>
        <v/>
      </c>
      <c r="B495" s="2" t="str">
        <f>IF($G495="","",IF(AND(LEFT($Q495,8)="Non-aero",ISERROR(MATCH($N495,Lge_NonAero!$B:$B,0))),1,0))</f>
        <v/>
      </c>
      <c r="C495" s="5" t="str">
        <f>IF($G495="","",IF(AND(LEFT($O495,3)="Wom",ISERROR(MATCH($N495,Lge_Women!$B:$B,0))),1,0))</f>
        <v/>
      </c>
      <c r="D495" s="2" t="str">
        <f>IF($G495="","",IF(AND(OR($O495="Vet",$O495="Woman Vet"),ISERROR(MATCH($N495,Lge_Vets!$B:$B,0))),1,0))</f>
        <v/>
      </c>
      <c r="E495" s="2" t="str">
        <f>IF($G495="","",IF(AND(OR($O495="Junior",$O495="Woman Junior",$O495="Youth",$O495="Woman Youth"),ISERROR(MATCH($N495,Lge_Junior!$B:$B,0))),1,0))</f>
        <v/>
      </c>
      <c r="F495" s="2" t="str">
        <f>IF($G495="","",IF(AND(LEFT($O495,3)="You",ISERROR(MATCH($N495,Lge_Youth!$B:$B,0))),1,0))</f>
        <v/>
      </c>
      <c r="G495" s="3"/>
      <c r="H495" s="3"/>
      <c r="I495" s="3"/>
      <c r="J495" s="3"/>
      <c r="K495" s="6"/>
      <c r="L495" s="4"/>
      <c r="M495" s="4"/>
      <c r="N495" s="8"/>
      <c r="O495" s="8"/>
      <c r="P495" s="9"/>
      <c r="Q495" s="8"/>
      <c r="R495" s="8"/>
      <c r="S495" s="9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10"/>
    </row>
    <row r="496" spans="1:39" x14ac:dyDescent="0.2">
      <c r="A496" s="2" t="str">
        <f>IF($G496="","",IF(ISERROR(MATCH($N496,Lge_Scratch!$B:$B,0)),1,0))</f>
        <v/>
      </c>
      <c r="B496" s="2" t="str">
        <f>IF($G496="","",IF(AND(LEFT($Q496,8)="Non-aero",ISERROR(MATCH($N496,Lge_NonAero!$B:$B,0))),1,0))</f>
        <v/>
      </c>
      <c r="C496" s="5" t="str">
        <f>IF($G496="","",IF(AND(LEFT($O496,3)="Wom",ISERROR(MATCH($N496,Lge_Women!$B:$B,0))),1,0))</f>
        <v/>
      </c>
      <c r="D496" s="2" t="str">
        <f>IF($G496="","",IF(AND(OR($O496="Vet",$O496="Woman Vet"),ISERROR(MATCH($N496,Lge_Vets!$B:$B,0))),1,0))</f>
        <v/>
      </c>
      <c r="E496" s="2" t="str">
        <f>IF($G496="","",IF(AND(OR($O496="Junior",$O496="Woman Junior",$O496="Youth",$O496="Woman Youth"),ISERROR(MATCH($N496,Lge_Junior!$B:$B,0))),1,0))</f>
        <v/>
      </c>
      <c r="F496" s="2" t="str">
        <f>IF($G496="","",IF(AND(LEFT($O496,3)="You",ISERROR(MATCH($N496,Lge_Youth!$B:$B,0))),1,0))</f>
        <v/>
      </c>
      <c r="G496" s="3"/>
      <c r="H496" s="3"/>
      <c r="I496" s="3"/>
      <c r="J496" s="3"/>
      <c r="K496" s="6"/>
      <c r="L496" s="4"/>
      <c r="M496" s="4"/>
      <c r="N496" s="8"/>
      <c r="O496" s="8"/>
      <c r="P496" s="9"/>
      <c r="Q496" s="8"/>
      <c r="R496" s="8"/>
      <c r="S496" s="9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10"/>
    </row>
    <row r="497" spans="1:39" x14ac:dyDescent="0.2">
      <c r="A497" s="2" t="str">
        <f>IF($G497="","",IF(ISERROR(MATCH($N497,Lge_Scratch!$B:$B,0)),1,0))</f>
        <v/>
      </c>
      <c r="B497" s="2" t="str">
        <f>IF($G497="","",IF(AND(LEFT($Q497,8)="Non-aero",ISERROR(MATCH($N497,Lge_NonAero!$B:$B,0))),1,0))</f>
        <v/>
      </c>
      <c r="C497" s="5" t="str">
        <f>IF($G497="","",IF(AND(LEFT($O497,3)="Wom",ISERROR(MATCH($N497,Lge_Women!$B:$B,0))),1,0))</f>
        <v/>
      </c>
      <c r="D497" s="2" t="str">
        <f>IF($G497="","",IF(AND(OR($O497="Vet",$O497="Woman Vet"),ISERROR(MATCH($N497,Lge_Vets!$B:$B,0))),1,0))</f>
        <v/>
      </c>
      <c r="E497" s="2" t="str">
        <f>IF($G497="","",IF(AND(OR($O497="Junior",$O497="Woman Junior",$O497="Youth",$O497="Woman Youth"),ISERROR(MATCH($N497,Lge_Junior!$B:$B,0))),1,0))</f>
        <v/>
      </c>
      <c r="F497" s="2" t="str">
        <f>IF($G497="","",IF(AND(LEFT($O497,3)="You",ISERROR(MATCH($N497,Lge_Youth!$B:$B,0))),1,0))</f>
        <v/>
      </c>
      <c r="G497" s="3"/>
      <c r="H497" s="3"/>
      <c r="I497" s="3"/>
      <c r="J497" s="3"/>
      <c r="K497" s="6"/>
      <c r="L497" s="4"/>
      <c r="M497" s="4"/>
      <c r="N497" s="8"/>
      <c r="O497" s="8"/>
      <c r="P497" s="9"/>
      <c r="Q497" s="8"/>
      <c r="R497" s="8"/>
      <c r="S497" s="9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10"/>
    </row>
    <row r="498" spans="1:39" x14ac:dyDescent="0.2">
      <c r="A498" s="2" t="str">
        <f>IF($G498="","",IF(ISERROR(MATCH($N498,Lge_Scratch!$B:$B,0)),1,0))</f>
        <v/>
      </c>
      <c r="B498" s="2" t="str">
        <f>IF($G498="","",IF(AND(LEFT($Q498,8)="Non-aero",ISERROR(MATCH($N498,Lge_NonAero!$B:$B,0))),1,0))</f>
        <v/>
      </c>
      <c r="C498" s="5" t="str">
        <f>IF($G498="","",IF(AND(LEFT($O498,3)="Wom",ISERROR(MATCH($N498,Lge_Women!$B:$B,0))),1,0))</f>
        <v/>
      </c>
      <c r="D498" s="2" t="str">
        <f>IF($G498="","",IF(AND(OR($O498="Vet",$O498="Woman Vet"),ISERROR(MATCH($N498,Lge_Vets!$B:$B,0))),1,0))</f>
        <v/>
      </c>
      <c r="E498" s="2" t="str">
        <f>IF($G498="","",IF(AND(OR($O498="Junior",$O498="Woman Junior",$O498="Youth",$O498="Woman Youth"),ISERROR(MATCH($N498,Lge_Junior!$B:$B,0))),1,0))</f>
        <v/>
      </c>
      <c r="F498" s="2" t="str">
        <f>IF($G498="","",IF(AND(LEFT($O498,3)="You",ISERROR(MATCH($N498,Lge_Youth!$B:$B,0))),1,0))</f>
        <v/>
      </c>
      <c r="G498" s="3"/>
      <c r="H498" s="3"/>
      <c r="I498" s="3"/>
      <c r="J498" s="3"/>
      <c r="K498" s="6"/>
      <c r="L498" s="4"/>
      <c r="M498" s="4"/>
      <c r="N498" s="8"/>
      <c r="O498" s="8"/>
      <c r="P498" s="9"/>
      <c r="Q498" s="8"/>
      <c r="R498" s="8"/>
      <c r="S498" s="9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10"/>
    </row>
    <row r="499" spans="1:39" x14ac:dyDescent="0.2">
      <c r="A499" s="2" t="str">
        <f>IF($G499="","",IF(ISERROR(MATCH($N499,Lge_Scratch!$B:$B,0)),1,0))</f>
        <v/>
      </c>
      <c r="B499" s="2" t="str">
        <f>IF($G499="","",IF(AND(LEFT($Q499,8)="Non-aero",ISERROR(MATCH($N499,Lge_NonAero!$B:$B,0))),1,0))</f>
        <v/>
      </c>
      <c r="C499" s="5" t="str">
        <f>IF($G499="","",IF(AND(LEFT($O499,3)="Wom",ISERROR(MATCH($N499,Lge_Women!$B:$B,0))),1,0))</f>
        <v/>
      </c>
      <c r="D499" s="2" t="str">
        <f>IF($G499="","",IF(AND(OR($O499="Vet",$O499="Woman Vet"),ISERROR(MATCH($N499,Lge_Vets!$B:$B,0))),1,0))</f>
        <v/>
      </c>
      <c r="E499" s="2" t="str">
        <f>IF($G499="","",IF(AND(OR($O499="Junior",$O499="Woman Junior",$O499="Youth",$O499="Woman Youth"),ISERROR(MATCH($N499,Lge_Junior!$B:$B,0))),1,0))</f>
        <v/>
      </c>
      <c r="F499" s="2" t="str">
        <f>IF($G499="","",IF(AND(LEFT($O499,3)="You",ISERROR(MATCH($N499,Lge_Youth!$B:$B,0))),1,0))</f>
        <v/>
      </c>
      <c r="G499" s="3"/>
      <c r="H499" s="3"/>
      <c r="I499" s="3"/>
      <c r="J499" s="3"/>
      <c r="K499" s="6"/>
      <c r="L499" s="4"/>
      <c r="M499" s="4"/>
      <c r="N499" s="8"/>
      <c r="O499" s="8"/>
      <c r="P499" s="9"/>
      <c r="Q499" s="8"/>
      <c r="R499" s="8"/>
      <c r="S499" s="9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10"/>
    </row>
    <row r="500" spans="1:39" x14ac:dyDescent="0.2">
      <c r="A500" s="2" t="str">
        <f>IF($G500="","",IF(ISERROR(MATCH($N500,Lge_Scratch!$B:$B,0)),1,0))</f>
        <v/>
      </c>
      <c r="B500" s="2" t="str">
        <f>IF($G500="","",IF(AND(LEFT($Q500,8)="Non-aero",ISERROR(MATCH($N500,Lge_NonAero!$B:$B,0))),1,0))</f>
        <v/>
      </c>
      <c r="C500" s="5" t="str">
        <f>IF($G500="","",IF(AND(LEFT($O500,3)="Wom",ISERROR(MATCH($N500,Lge_Women!$B:$B,0))),1,0))</f>
        <v/>
      </c>
      <c r="D500" s="2" t="str">
        <f>IF($G500="","",IF(AND(OR($O500="Vet",$O500="Woman Vet"),ISERROR(MATCH($N500,Lge_Vets!$B:$B,0))),1,0))</f>
        <v/>
      </c>
      <c r="E500" s="2" t="str">
        <f>IF($G500="","",IF(AND(OR($O500="Junior",$O500="Woman Junior",$O500="Youth",$O500="Woman Youth"),ISERROR(MATCH($N500,Lge_Junior!$B:$B,0))),1,0))</f>
        <v/>
      </c>
      <c r="F500" s="2" t="str">
        <f>IF($G500="","",IF(AND(LEFT($O500,3)="You",ISERROR(MATCH($N500,Lge_Youth!$B:$B,0))),1,0))</f>
        <v/>
      </c>
      <c r="G500" s="3"/>
      <c r="H500" s="3"/>
      <c r="I500" s="3"/>
      <c r="J500" s="3"/>
      <c r="K500" s="6"/>
      <c r="L500" s="4"/>
      <c r="M500" s="4"/>
      <c r="N500" s="8"/>
      <c r="O500" s="8"/>
      <c r="P500" s="9"/>
      <c r="Q500" s="8"/>
      <c r="R500" s="8"/>
      <c r="S500" s="9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10"/>
    </row>
    <row r="501" spans="1:39" x14ac:dyDescent="0.2">
      <c r="A501" s="2" t="str">
        <f>IF($G501="","",IF(ISERROR(MATCH($N501,Lge_Scratch!$B:$B,0)),1,0))</f>
        <v/>
      </c>
      <c r="B501" s="2" t="str">
        <f>IF($G501="","",IF(AND(LEFT($Q501,8)="Non-aero",ISERROR(MATCH($N501,Lge_NonAero!$B:$B,0))),1,0))</f>
        <v/>
      </c>
      <c r="C501" s="5" t="str">
        <f>IF($G501="","",IF(AND(LEFT($O501,3)="Wom",ISERROR(MATCH($N501,Lge_Women!$B:$B,0))),1,0))</f>
        <v/>
      </c>
      <c r="D501" s="2" t="str">
        <f>IF($G501="","",IF(AND(OR($O501="Vet",$O501="Woman Vet"),ISERROR(MATCH($N501,Lge_Vets!$B:$B,0))),1,0))</f>
        <v/>
      </c>
      <c r="E501" s="2" t="str">
        <f>IF($G501="","",IF(AND(OR($O501="Junior",$O501="Woman Junior",$O501="Youth",$O501="Woman Youth"),ISERROR(MATCH($N501,Lge_Junior!$B:$B,0))),1,0))</f>
        <v/>
      </c>
      <c r="F501" s="2" t="str">
        <f>IF($G501="","",IF(AND(LEFT($O501,3)="You",ISERROR(MATCH($N501,Lge_Youth!$B:$B,0))),1,0))</f>
        <v/>
      </c>
      <c r="G501" s="3"/>
      <c r="H501" s="3"/>
      <c r="I501" s="3"/>
      <c r="J501" s="3"/>
      <c r="K501" s="6"/>
      <c r="L501" s="4"/>
      <c r="M501" s="4"/>
      <c r="N501" s="8"/>
      <c r="O501" s="8"/>
      <c r="P501" s="9"/>
      <c r="Q501" s="8"/>
      <c r="R501" s="8"/>
      <c r="S501" s="9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10"/>
    </row>
    <row r="502" spans="1:39" x14ac:dyDescent="0.2">
      <c r="A502" s="2" t="str">
        <f>IF($G502="","",IF(ISERROR(MATCH($N502,Lge_Scratch!$B:$B,0)),1,0))</f>
        <v/>
      </c>
      <c r="B502" s="2" t="str">
        <f>IF($G502="","",IF(AND(LEFT($Q502,8)="Non-aero",ISERROR(MATCH($N502,Lge_NonAero!$B:$B,0))),1,0))</f>
        <v/>
      </c>
      <c r="C502" s="5" t="str">
        <f>IF($G502="","",IF(AND(LEFT($O502,3)="Wom",ISERROR(MATCH($N502,Lge_Women!$B:$B,0))),1,0))</f>
        <v/>
      </c>
      <c r="D502" s="2" t="str">
        <f>IF($G502="","",IF(AND(OR($O502="Vet",$O502="Woman Vet"),ISERROR(MATCH($N502,Lge_Vets!$B:$B,0))),1,0))</f>
        <v/>
      </c>
      <c r="E502" s="2" t="str">
        <f>IF($G502="","",IF(AND(OR($O502="Junior",$O502="Woman Junior",$O502="Youth",$O502="Woman Youth"),ISERROR(MATCH($N502,Lge_Junior!$B:$B,0))),1,0))</f>
        <v/>
      </c>
      <c r="F502" s="2" t="str">
        <f>IF($G502="","",IF(AND(LEFT($O502,3)="You",ISERROR(MATCH($N502,Lge_Youth!$B:$B,0))),1,0))</f>
        <v/>
      </c>
      <c r="G502" s="3"/>
      <c r="H502" s="3"/>
      <c r="I502" s="3"/>
      <c r="J502" s="3"/>
      <c r="K502" s="6"/>
      <c r="L502" s="4"/>
      <c r="M502" s="4"/>
      <c r="N502" s="8"/>
      <c r="O502" s="8"/>
      <c r="P502" s="9"/>
      <c r="Q502" s="8"/>
      <c r="R502" s="8"/>
      <c r="S502" s="9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10"/>
    </row>
    <row r="503" spans="1:39" x14ac:dyDescent="0.2">
      <c r="A503" s="2" t="str">
        <f>IF($G503="","",IF(ISERROR(MATCH($N503,Lge_Scratch!$B:$B,0)),1,0))</f>
        <v/>
      </c>
      <c r="B503" s="2" t="str">
        <f>IF($G503="","",IF(AND(LEFT($Q503,8)="Non-aero",ISERROR(MATCH($N503,Lge_NonAero!$B:$B,0))),1,0))</f>
        <v/>
      </c>
      <c r="C503" s="5" t="str">
        <f>IF($G503="","",IF(AND(LEFT($O503,3)="Wom",ISERROR(MATCH($N503,Lge_Women!$B:$B,0))),1,0))</f>
        <v/>
      </c>
      <c r="D503" s="2" t="str">
        <f>IF($G503="","",IF(AND(OR($O503="Vet",$O503="Woman Vet"),ISERROR(MATCH($N503,Lge_Vets!$B:$B,0))),1,0))</f>
        <v/>
      </c>
      <c r="E503" s="2" t="str">
        <f>IF($G503="","",IF(AND(OR($O503="Junior",$O503="Woman Junior",$O503="Youth",$O503="Woman Youth"),ISERROR(MATCH($N503,Lge_Junior!$B:$B,0))),1,0))</f>
        <v/>
      </c>
      <c r="F503" s="2" t="str">
        <f>IF($G503="","",IF(AND(LEFT($O503,3)="You",ISERROR(MATCH($N503,Lge_Youth!$B:$B,0))),1,0))</f>
        <v/>
      </c>
      <c r="G503" s="3"/>
      <c r="H503" s="3"/>
      <c r="I503" s="3"/>
      <c r="J503" s="3"/>
      <c r="K503" s="6"/>
      <c r="L503" s="4"/>
      <c r="M503" s="4"/>
      <c r="N503" s="8"/>
      <c r="O503" s="8"/>
      <c r="P503" s="9"/>
      <c r="Q503" s="8"/>
      <c r="R503" s="8"/>
      <c r="S503" s="9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10"/>
    </row>
    <row r="504" spans="1:39" x14ac:dyDescent="0.2">
      <c r="A504" s="2" t="str">
        <f>IF($G504="","",IF(ISERROR(MATCH($N504,Lge_Scratch!$B:$B,0)),1,0))</f>
        <v/>
      </c>
      <c r="B504" s="2" t="str">
        <f>IF($G504="","",IF(AND(LEFT($Q504,8)="Non-aero",ISERROR(MATCH($N504,Lge_NonAero!$B:$B,0))),1,0))</f>
        <v/>
      </c>
      <c r="C504" s="5" t="str">
        <f>IF($G504="","",IF(AND(LEFT($O504,3)="Wom",ISERROR(MATCH($N504,Lge_Women!$B:$B,0))),1,0))</f>
        <v/>
      </c>
      <c r="D504" s="2" t="str">
        <f>IF($G504="","",IF(AND(OR($O504="Vet",$O504="Woman Vet"),ISERROR(MATCH($N504,Lge_Vets!$B:$B,0))),1,0))</f>
        <v/>
      </c>
      <c r="E504" s="2" t="str">
        <f>IF($G504="","",IF(AND(OR($O504="Junior",$O504="Woman Junior",$O504="Youth",$O504="Woman Youth"),ISERROR(MATCH($N504,Lge_Junior!$B:$B,0))),1,0))</f>
        <v/>
      </c>
      <c r="F504" s="2" t="str">
        <f>IF($G504="","",IF(AND(LEFT($O504,3)="You",ISERROR(MATCH($N504,Lge_Youth!$B:$B,0))),1,0))</f>
        <v/>
      </c>
      <c r="G504" s="3"/>
      <c r="H504" s="3"/>
      <c r="I504" s="3"/>
      <c r="J504" s="3"/>
      <c r="K504" s="6"/>
      <c r="L504" s="4"/>
      <c r="M504" s="4"/>
      <c r="N504" s="8"/>
      <c r="O504" s="8"/>
      <c r="P504" s="9"/>
      <c r="Q504" s="8"/>
      <c r="R504" s="8"/>
      <c r="S504" s="9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10"/>
    </row>
    <row r="505" spans="1:39" x14ac:dyDescent="0.2">
      <c r="A505" s="2" t="str">
        <f>IF($G505="","",IF(ISERROR(MATCH($N505,Lge_Scratch!$B:$B,0)),1,0))</f>
        <v/>
      </c>
      <c r="B505" s="2" t="str">
        <f>IF($G505="","",IF(AND(LEFT($Q505,8)="Non-aero",ISERROR(MATCH($N505,Lge_NonAero!$B:$B,0))),1,0))</f>
        <v/>
      </c>
      <c r="C505" s="5" t="str">
        <f>IF($G505="","",IF(AND(LEFT($O505,3)="Wom",ISERROR(MATCH($N505,Lge_Women!$B:$B,0))),1,0))</f>
        <v/>
      </c>
      <c r="D505" s="2" t="str">
        <f>IF($G505="","",IF(AND(OR($O505="Vet",$O505="Woman Vet"),ISERROR(MATCH($N505,Lge_Vets!$B:$B,0))),1,0))</f>
        <v/>
      </c>
      <c r="E505" s="2" t="str">
        <f>IF($G505="","",IF(AND(OR($O505="Junior",$O505="Woman Junior",$O505="Youth",$O505="Woman Youth"),ISERROR(MATCH($N505,Lge_Junior!$B:$B,0))),1,0))</f>
        <v/>
      </c>
      <c r="F505" s="2" t="str">
        <f>IF($G505="","",IF(AND(LEFT($O505,3)="You",ISERROR(MATCH($N505,Lge_Youth!$B:$B,0))),1,0))</f>
        <v/>
      </c>
      <c r="G505" s="3"/>
      <c r="H505" s="3"/>
      <c r="I505" s="3"/>
      <c r="J505" s="3"/>
      <c r="K505" s="6"/>
      <c r="L505" s="4"/>
      <c r="M505" s="4"/>
      <c r="N505" s="8"/>
      <c r="O505" s="8"/>
      <c r="P505" s="9"/>
      <c r="Q505" s="8"/>
      <c r="R505" s="8"/>
      <c r="S505" s="9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10"/>
    </row>
    <row r="506" spans="1:39" x14ac:dyDescent="0.2">
      <c r="A506" s="2" t="str">
        <f>IF($G506="","",IF(ISERROR(MATCH($N506,Lge_Scratch!$B:$B,0)),1,0))</f>
        <v/>
      </c>
      <c r="B506" s="2" t="str">
        <f>IF($G506="","",IF(AND(LEFT($Q506,8)="Non-aero",ISERROR(MATCH($N506,Lge_NonAero!$B:$B,0))),1,0))</f>
        <v/>
      </c>
      <c r="C506" s="5" t="str">
        <f>IF($G506="","",IF(AND(LEFT($O506,3)="Wom",ISERROR(MATCH($N506,Lge_Women!$B:$B,0))),1,0))</f>
        <v/>
      </c>
      <c r="D506" s="2" t="str">
        <f>IF($G506="","",IF(AND(OR($O506="Vet",$O506="Woman Vet"),ISERROR(MATCH($N506,Lge_Vets!$B:$B,0))),1,0))</f>
        <v/>
      </c>
      <c r="E506" s="2" t="str">
        <f>IF($G506="","",IF(AND(OR($O506="Junior",$O506="Woman Junior",$O506="Youth",$O506="Woman Youth"),ISERROR(MATCH($N506,Lge_Junior!$B:$B,0))),1,0))</f>
        <v/>
      </c>
      <c r="F506" s="2" t="str">
        <f>IF($G506="","",IF(AND(LEFT($O506,3)="You",ISERROR(MATCH($N506,Lge_Youth!$B:$B,0))),1,0))</f>
        <v/>
      </c>
      <c r="G506" s="3"/>
      <c r="H506" s="3"/>
      <c r="I506" s="3"/>
      <c r="J506" s="3"/>
      <c r="K506" s="6"/>
      <c r="L506" s="4"/>
      <c r="M506" s="4"/>
      <c r="N506" s="8"/>
      <c r="O506" s="8"/>
      <c r="P506" s="9"/>
      <c r="Q506" s="8"/>
      <c r="R506" s="8"/>
      <c r="S506" s="9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10"/>
    </row>
    <row r="507" spans="1:39" x14ac:dyDescent="0.2">
      <c r="A507" s="2" t="str">
        <f>IF($G507="","",IF(ISERROR(MATCH($N507,Lge_Scratch!$B:$B,0)),1,0))</f>
        <v/>
      </c>
      <c r="B507" s="2" t="str">
        <f>IF($G507="","",IF(AND(LEFT($Q507,8)="Non-aero",ISERROR(MATCH($N507,Lge_NonAero!$B:$B,0))),1,0))</f>
        <v/>
      </c>
      <c r="C507" s="5" t="str">
        <f>IF($G507="","",IF(AND(LEFT($O507,3)="Wom",ISERROR(MATCH($N507,Lge_Women!$B:$B,0))),1,0))</f>
        <v/>
      </c>
      <c r="D507" s="2" t="str">
        <f>IF($G507="","",IF(AND(OR($O507="Vet",$O507="Woman Vet"),ISERROR(MATCH($N507,Lge_Vets!$B:$B,0))),1,0))</f>
        <v/>
      </c>
      <c r="E507" s="2" t="str">
        <f>IF($G507="","",IF(AND(OR($O507="Junior",$O507="Woman Junior",$O507="Youth",$O507="Woman Youth"),ISERROR(MATCH($N507,Lge_Junior!$B:$B,0))),1,0))</f>
        <v/>
      </c>
      <c r="F507" s="2" t="str">
        <f>IF($G507="","",IF(AND(LEFT($O507,3)="You",ISERROR(MATCH($N507,Lge_Youth!$B:$B,0))),1,0))</f>
        <v/>
      </c>
      <c r="G507" s="3"/>
      <c r="H507" s="3"/>
      <c r="I507" s="3"/>
      <c r="J507" s="3"/>
      <c r="K507" s="6"/>
      <c r="L507" s="4"/>
      <c r="M507" s="4"/>
      <c r="N507" s="8"/>
      <c r="O507" s="8"/>
      <c r="P507" s="9"/>
      <c r="Q507" s="8"/>
      <c r="R507" s="8"/>
      <c r="S507" s="9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10"/>
    </row>
    <row r="508" spans="1:39" x14ac:dyDescent="0.2">
      <c r="A508" s="2" t="str">
        <f>IF($G508="","",IF(ISERROR(MATCH($N508,Lge_Scratch!$B:$B,0)),1,0))</f>
        <v/>
      </c>
      <c r="B508" s="2" t="str">
        <f>IF($G508="","",IF(AND(LEFT($Q508,8)="Non-aero",ISERROR(MATCH($N508,Lge_NonAero!$B:$B,0))),1,0))</f>
        <v/>
      </c>
      <c r="C508" s="5" t="str">
        <f>IF($G508="","",IF(AND(LEFT($O508,3)="Wom",ISERROR(MATCH($N508,Lge_Women!$B:$B,0))),1,0))</f>
        <v/>
      </c>
      <c r="D508" s="2" t="str">
        <f>IF($G508="","",IF(AND(OR($O508="Vet",$O508="Woman Vet"),ISERROR(MATCH($N508,Lge_Vets!$B:$B,0))),1,0))</f>
        <v/>
      </c>
      <c r="E508" s="2" t="str">
        <f>IF($G508="","",IF(AND(OR($O508="Junior",$O508="Woman Junior",$O508="Youth",$O508="Woman Youth"),ISERROR(MATCH($N508,Lge_Junior!$B:$B,0))),1,0))</f>
        <v/>
      </c>
      <c r="F508" s="2" t="str">
        <f>IF($G508="","",IF(AND(LEFT($O508,3)="You",ISERROR(MATCH($N508,Lge_Youth!$B:$B,0))),1,0))</f>
        <v/>
      </c>
      <c r="G508" s="3"/>
      <c r="H508" s="3"/>
      <c r="I508" s="3"/>
      <c r="J508" s="3"/>
      <c r="K508" s="6"/>
      <c r="L508" s="4"/>
      <c r="M508" s="4"/>
      <c r="N508" s="8"/>
      <c r="O508" s="8"/>
      <c r="P508" s="9"/>
      <c r="Q508" s="8"/>
      <c r="R508" s="8"/>
      <c r="S508" s="9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10"/>
    </row>
    <row r="509" spans="1:39" x14ac:dyDescent="0.2">
      <c r="A509" s="2" t="str">
        <f>IF($G509="","",IF(ISERROR(MATCH($N509,Lge_Scratch!$B:$B,0)),1,0))</f>
        <v/>
      </c>
      <c r="B509" s="2" t="str">
        <f>IF($G509="","",IF(AND(LEFT($Q509,8)="Non-aero",ISERROR(MATCH($N509,Lge_NonAero!$B:$B,0))),1,0))</f>
        <v/>
      </c>
      <c r="C509" s="5" t="str">
        <f>IF($G509="","",IF(AND(LEFT($O509,3)="Wom",ISERROR(MATCH($N509,Lge_Women!$B:$B,0))),1,0))</f>
        <v/>
      </c>
      <c r="D509" s="2" t="str">
        <f>IF($G509="","",IF(AND(OR($O509="Vet",$O509="Woman Vet"),ISERROR(MATCH($N509,Lge_Vets!$B:$B,0))),1,0))</f>
        <v/>
      </c>
      <c r="E509" s="2" t="str">
        <f>IF($G509="","",IF(AND(OR($O509="Junior",$O509="Woman Junior",$O509="Youth",$O509="Woman Youth"),ISERROR(MATCH($N509,Lge_Junior!$B:$B,0))),1,0))</f>
        <v/>
      </c>
      <c r="F509" s="2" t="str">
        <f>IF($G509="","",IF(AND(LEFT($O509,3)="You",ISERROR(MATCH($N509,Lge_Youth!$B:$B,0))),1,0))</f>
        <v/>
      </c>
      <c r="G509" s="3"/>
      <c r="H509" s="3"/>
      <c r="I509" s="3"/>
      <c r="J509" s="3"/>
      <c r="K509" s="6"/>
      <c r="L509" s="4"/>
      <c r="M509" s="4"/>
      <c r="N509" s="8"/>
      <c r="O509" s="8"/>
      <c r="P509" s="9"/>
      <c r="Q509" s="8"/>
      <c r="R509" s="8"/>
      <c r="S509" s="9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10"/>
    </row>
    <row r="510" spans="1:39" x14ac:dyDescent="0.2">
      <c r="A510" s="2" t="str">
        <f>IF($G510="","",IF(ISERROR(MATCH($N510,Lge_Scratch!$B:$B,0)),1,0))</f>
        <v/>
      </c>
      <c r="B510" s="2" t="str">
        <f>IF($G510="","",IF(AND(LEFT($Q510,8)="Non-aero",ISERROR(MATCH($N510,Lge_NonAero!$B:$B,0))),1,0))</f>
        <v/>
      </c>
      <c r="C510" s="5" t="str">
        <f>IF($G510="","",IF(AND(LEFT($O510,3)="Wom",ISERROR(MATCH($N510,Lge_Women!$B:$B,0))),1,0))</f>
        <v/>
      </c>
      <c r="D510" s="2" t="str">
        <f>IF($G510="","",IF(AND(OR($O510="Vet",$O510="Woman Vet"),ISERROR(MATCH($N510,Lge_Vets!$B:$B,0))),1,0))</f>
        <v/>
      </c>
      <c r="E510" s="2" t="str">
        <f>IF($G510="","",IF(AND(OR($O510="Junior",$O510="Woman Junior",$O510="Youth",$O510="Woman Youth"),ISERROR(MATCH($N510,Lge_Junior!$B:$B,0))),1,0))</f>
        <v/>
      </c>
      <c r="F510" s="2" t="str">
        <f>IF($G510="","",IF(AND(LEFT($O510,3)="You",ISERROR(MATCH($N510,Lge_Youth!$B:$B,0))),1,0))</f>
        <v/>
      </c>
      <c r="G510" s="3"/>
      <c r="H510" s="3"/>
      <c r="I510" s="3"/>
      <c r="J510" s="3"/>
      <c r="K510" s="6"/>
      <c r="L510" s="4"/>
      <c r="M510" s="4"/>
      <c r="N510" s="8"/>
      <c r="O510" s="8"/>
      <c r="P510" s="9"/>
      <c r="Q510" s="8"/>
      <c r="R510" s="8"/>
      <c r="S510" s="9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10"/>
    </row>
    <row r="511" spans="1:39" x14ac:dyDescent="0.2">
      <c r="A511" s="2" t="str">
        <f>IF($G511="","",IF(ISERROR(MATCH($N511,Lge_Scratch!$B:$B,0)),1,0))</f>
        <v/>
      </c>
      <c r="B511" s="2" t="str">
        <f>IF($G511="","",IF(AND(LEFT($Q511,8)="Non-aero",ISERROR(MATCH($N511,Lge_NonAero!$B:$B,0))),1,0))</f>
        <v/>
      </c>
      <c r="C511" s="5" t="str">
        <f>IF($G511="","",IF(AND(LEFT($O511,3)="Wom",ISERROR(MATCH($N511,Lge_Women!$B:$B,0))),1,0))</f>
        <v/>
      </c>
      <c r="D511" s="2" t="str">
        <f>IF($G511="","",IF(AND(OR($O511="Vet",$O511="Woman Vet"),ISERROR(MATCH($N511,Lge_Vets!$B:$B,0))),1,0))</f>
        <v/>
      </c>
      <c r="E511" s="2" t="str">
        <f>IF($G511="","",IF(AND(OR($O511="Junior",$O511="Woman Junior",$O511="Youth",$O511="Woman Youth"),ISERROR(MATCH($N511,Lge_Junior!$B:$B,0))),1,0))</f>
        <v/>
      </c>
      <c r="F511" s="2" t="str">
        <f>IF($G511="","",IF(AND(LEFT($O511,3)="You",ISERROR(MATCH($N511,Lge_Youth!$B:$B,0))),1,0))</f>
        <v/>
      </c>
      <c r="G511" s="3"/>
      <c r="H511" s="3"/>
      <c r="I511" s="3"/>
      <c r="J511" s="3"/>
      <c r="K511" s="6"/>
      <c r="L511" s="4"/>
      <c r="M511" s="4"/>
      <c r="N511" s="8"/>
      <c r="O511" s="8"/>
      <c r="P511" s="9"/>
      <c r="Q511" s="8"/>
      <c r="R511" s="8"/>
      <c r="S511" s="9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10"/>
    </row>
    <row r="512" spans="1:39" x14ac:dyDescent="0.2">
      <c r="A512" s="2" t="str">
        <f>IF($G512="","",IF(ISERROR(MATCH($N512,Lge_Scratch!$B:$B,0)),1,0))</f>
        <v/>
      </c>
      <c r="B512" s="2" t="str">
        <f>IF($G512="","",IF(AND(LEFT($Q512,8)="Non-aero",ISERROR(MATCH($N512,Lge_NonAero!$B:$B,0))),1,0))</f>
        <v/>
      </c>
      <c r="C512" s="5" t="str">
        <f>IF($G512="","",IF(AND(LEFT($O512,3)="Wom",ISERROR(MATCH($N512,Lge_Women!$B:$B,0))),1,0))</f>
        <v/>
      </c>
      <c r="D512" s="2" t="str">
        <f>IF($G512="","",IF(AND(OR($O512="Vet",$O512="Woman Vet"),ISERROR(MATCH($N512,Lge_Vets!$B:$B,0))),1,0))</f>
        <v/>
      </c>
      <c r="E512" s="2" t="str">
        <f>IF($G512="","",IF(AND(OR($O512="Junior",$O512="Woman Junior",$O512="Youth",$O512="Woman Youth"),ISERROR(MATCH($N512,Lge_Junior!$B:$B,0))),1,0))</f>
        <v/>
      </c>
      <c r="F512" s="2" t="str">
        <f>IF($G512="","",IF(AND(LEFT($O512,3)="You",ISERROR(MATCH($N512,Lge_Youth!$B:$B,0))),1,0))</f>
        <v/>
      </c>
      <c r="G512" s="3"/>
      <c r="H512" s="3"/>
      <c r="I512" s="3"/>
      <c r="J512" s="3"/>
      <c r="K512" s="6"/>
      <c r="L512" s="4"/>
      <c r="M512" s="4"/>
      <c r="N512" s="8"/>
      <c r="O512" s="8"/>
      <c r="P512" s="9"/>
      <c r="Q512" s="8"/>
      <c r="R512" s="8"/>
      <c r="S512" s="9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10"/>
    </row>
    <row r="513" spans="1:39" x14ac:dyDescent="0.2">
      <c r="A513" s="2" t="str">
        <f>IF($G513="","",IF(ISERROR(MATCH($N513,Lge_Scratch!$B:$B,0)),1,0))</f>
        <v/>
      </c>
      <c r="B513" s="2" t="str">
        <f>IF($G513="","",IF(AND(LEFT($Q513,8)="Non-aero",ISERROR(MATCH($N513,Lge_NonAero!$B:$B,0))),1,0))</f>
        <v/>
      </c>
      <c r="C513" s="5" t="str">
        <f>IF($G513="","",IF(AND(LEFT($O513,3)="Wom",ISERROR(MATCH($N513,Lge_Women!$B:$B,0))),1,0))</f>
        <v/>
      </c>
      <c r="D513" s="2" t="str">
        <f>IF($G513="","",IF(AND(OR($O513="Vet",$O513="Woman Vet"),ISERROR(MATCH($N513,Lge_Vets!$B:$B,0))),1,0))</f>
        <v/>
      </c>
      <c r="E513" s="2" t="str">
        <f>IF($G513="","",IF(AND(OR($O513="Junior",$O513="Woman Junior",$O513="Youth",$O513="Woman Youth"),ISERROR(MATCH($N513,Lge_Junior!$B:$B,0))),1,0))</f>
        <v/>
      </c>
      <c r="F513" s="2" t="str">
        <f>IF($G513="","",IF(AND(LEFT($O513,3)="You",ISERROR(MATCH($N513,Lge_Youth!$B:$B,0))),1,0))</f>
        <v/>
      </c>
      <c r="G513" s="3"/>
      <c r="H513" s="3"/>
      <c r="I513" s="3"/>
      <c r="J513" s="3"/>
      <c r="K513" s="6"/>
      <c r="L513" s="4"/>
      <c r="M513" s="4"/>
      <c r="N513" s="8"/>
      <c r="O513" s="8"/>
      <c r="P513" s="9"/>
      <c r="Q513" s="8"/>
      <c r="R513" s="8"/>
      <c r="S513" s="9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10"/>
    </row>
    <row r="514" spans="1:39" x14ac:dyDescent="0.2">
      <c r="A514" s="2" t="str">
        <f>IF($G514="","",IF(ISERROR(MATCH($N514,Lge_Scratch!$B:$B,0)),1,0))</f>
        <v/>
      </c>
      <c r="B514" s="2" t="str">
        <f>IF($G514="","",IF(AND(LEFT($Q514,8)="Non-aero",ISERROR(MATCH($N514,Lge_NonAero!$B:$B,0))),1,0))</f>
        <v/>
      </c>
      <c r="C514" s="5" t="str">
        <f>IF($G514="","",IF(AND(LEFT($O514,3)="Wom",ISERROR(MATCH($N514,Lge_Women!$B:$B,0))),1,0))</f>
        <v/>
      </c>
      <c r="D514" s="2" t="str">
        <f>IF($G514="","",IF(AND(OR($O514="Vet",$O514="Woman Vet"),ISERROR(MATCH($N514,Lge_Vets!$B:$B,0))),1,0))</f>
        <v/>
      </c>
      <c r="E514" s="2" t="str">
        <f>IF($G514="","",IF(AND(OR($O514="Junior",$O514="Woman Junior",$O514="Youth",$O514="Woman Youth"),ISERROR(MATCH($N514,Lge_Junior!$B:$B,0))),1,0))</f>
        <v/>
      </c>
      <c r="F514" s="2" t="str">
        <f>IF($G514="","",IF(AND(LEFT($O514,3)="You",ISERROR(MATCH($N514,Lge_Youth!$B:$B,0))),1,0))</f>
        <v/>
      </c>
      <c r="G514" s="3"/>
      <c r="H514" s="3"/>
      <c r="I514" s="3"/>
      <c r="J514" s="3"/>
      <c r="K514" s="6"/>
      <c r="L514" s="4"/>
      <c r="M514" s="4"/>
      <c r="N514" s="8"/>
      <c r="O514" s="8"/>
      <c r="P514" s="9"/>
      <c r="Q514" s="8"/>
      <c r="R514" s="8"/>
      <c r="S514" s="9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10"/>
    </row>
    <row r="515" spans="1:39" x14ac:dyDescent="0.2">
      <c r="A515" s="2" t="str">
        <f>IF($G515="","",IF(ISERROR(MATCH($N515,Lge_Scratch!$B:$B,0)),1,0))</f>
        <v/>
      </c>
      <c r="B515" s="2" t="str">
        <f>IF($G515="","",IF(AND(LEFT($Q515,8)="Non-aero",ISERROR(MATCH($N515,Lge_NonAero!$B:$B,0))),1,0))</f>
        <v/>
      </c>
      <c r="C515" s="5" t="str">
        <f>IF($G515="","",IF(AND(LEFT($O515,3)="Wom",ISERROR(MATCH($N515,Lge_Women!$B:$B,0))),1,0))</f>
        <v/>
      </c>
      <c r="D515" s="2" t="str">
        <f>IF($G515="","",IF(AND(OR($O515="Vet",$O515="Woman Vet"),ISERROR(MATCH($N515,Lge_Vets!$B:$B,0))),1,0))</f>
        <v/>
      </c>
      <c r="E515" s="2" t="str">
        <f>IF($G515="","",IF(AND(OR($O515="Junior",$O515="Woman Junior",$O515="Youth",$O515="Woman Youth"),ISERROR(MATCH($N515,Lge_Junior!$B:$B,0))),1,0))</f>
        <v/>
      </c>
      <c r="F515" s="2" t="str">
        <f>IF($G515="","",IF(AND(LEFT($O515,3)="You",ISERROR(MATCH($N515,Lge_Youth!$B:$B,0))),1,0))</f>
        <v/>
      </c>
      <c r="G515" s="3"/>
      <c r="H515" s="3"/>
      <c r="I515" s="3"/>
      <c r="J515" s="3"/>
      <c r="K515" s="6"/>
      <c r="L515" s="4"/>
      <c r="M515" s="4"/>
      <c r="N515" s="8"/>
      <c r="O515" s="8"/>
      <c r="P515" s="9"/>
      <c r="Q515" s="8"/>
      <c r="R515" s="8"/>
      <c r="S515" s="9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10"/>
    </row>
    <row r="516" spans="1:39" x14ac:dyDescent="0.2">
      <c r="A516" s="2" t="str">
        <f>IF($G516="","",IF(ISERROR(MATCH($N516,Lge_Scratch!$B:$B,0)),1,0))</f>
        <v/>
      </c>
      <c r="B516" s="2" t="str">
        <f>IF($G516="","",IF(AND(LEFT($Q516,8)="Non-aero",ISERROR(MATCH($N516,Lge_NonAero!$B:$B,0))),1,0))</f>
        <v/>
      </c>
      <c r="C516" s="5" t="str">
        <f>IF($G516="","",IF(AND(LEFT($O516,3)="Wom",ISERROR(MATCH($N516,Lge_Women!$B:$B,0))),1,0))</f>
        <v/>
      </c>
      <c r="D516" s="2" t="str">
        <f>IF($G516="","",IF(AND(OR($O516="Vet",$O516="Woman Vet"),ISERROR(MATCH($N516,Lge_Vets!$B:$B,0))),1,0))</f>
        <v/>
      </c>
      <c r="E516" s="2" t="str">
        <f>IF($G516="","",IF(AND(OR($O516="Junior",$O516="Woman Junior",$O516="Youth",$O516="Woman Youth"),ISERROR(MATCH($N516,Lge_Junior!$B:$B,0))),1,0))</f>
        <v/>
      </c>
      <c r="F516" s="2" t="str">
        <f>IF($G516="","",IF(AND(LEFT($O516,3)="You",ISERROR(MATCH($N516,Lge_Youth!$B:$B,0))),1,0))</f>
        <v/>
      </c>
      <c r="G516" s="3"/>
      <c r="H516" s="3"/>
      <c r="I516" s="3"/>
      <c r="J516" s="3"/>
      <c r="K516" s="6"/>
      <c r="L516" s="4"/>
      <c r="M516" s="4"/>
      <c r="N516" s="8"/>
      <c r="O516" s="8"/>
      <c r="P516" s="9"/>
      <c r="Q516" s="8"/>
      <c r="R516" s="8"/>
      <c r="S516" s="9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10"/>
    </row>
    <row r="517" spans="1:39" x14ac:dyDescent="0.2">
      <c r="A517" s="2" t="str">
        <f>IF($G517="","",IF(ISERROR(MATCH($N517,Lge_Scratch!$B:$B,0)),1,0))</f>
        <v/>
      </c>
      <c r="B517" s="2" t="str">
        <f>IF($G517="","",IF(AND(LEFT($Q517,8)="Non-aero",ISERROR(MATCH($N517,Lge_NonAero!$B:$B,0))),1,0))</f>
        <v/>
      </c>
      <c r="C517" s="5" t="str">
        <f>IF($G517="","",IF(AND(LEFT($O517,3)="Wom",ISERROR(MATCH($N517,Lge_Women!$B:$B,0))),1,0))</f>
        <v/>
      </c>
      <c r="D517" s="2" t="str">
        <f>IF($G517="","",IF(AND(OR($O517="Vet",$O517="Woman Vet"),ISERROR(MATCH($N517,Lge_Vets!$B:$B,0))),1,0))</f>
        <v/>
      </c>
      <c r="E517" s="2" t="str">
        <f>IF($G517="","",IF(AND(OR($O517="Junior",$O517="Woman Junior",$O517="Youth",$O517="Woman Youth"),ISERROR(MATCH($N517,Lge_Junior!$B:$B,0))),1,0))</f>
        <v/>
      </c>
      <c r="F517" s="2" t="str">
        <f>IF($G517="","",IF(AND(LEFT($O517,3)="You",ISERROR(MATCH($N517,Lge_Youth!$B:$B,0))),1,0))</f>
        <v/>
      </c>
      <c r="G517" s="3"/>
      <c r="H517" s="3"/>
      <c r="I517" s="3"/>
      <c r="J517" s="3"/>
      <c r="K517" s="6"/>
      <c r="L517" s="4"/>
      <c r="M517" s="4"/>
      <c r="N517" s="8"/>
      <c r="O517" s="8"/>
      <c r="P517" s="9"/>
      <c r="Q517" s="8"/>
      <c r="R517" s="8"/>
      <c r="S517" s="9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10"/>
    </row>
    <row r="518" spans="1:39" x14ac:dyDescent="0.2">
      <c r="A518" s="2" t="str">
        <f>IF($G518="","",IF(ISERROR(MATCH($N518,Lge_Scratch!$B:$B,0)),1,0))</f>
        <v/>
      </c>
      <c r="B518" s="2" t="str">
        <f>IF($G518="","",IF(AND(LEFT($Q518,8)="Non-aero",ISERROR(MATCH($N518,Lge_NonAero!$B:$B,0))),1,0))</f>
        <v/>
      </c>
      <c r="C518" s="5" t="str">
        <f>IF($G518="","",IF(AND(LEFT($O518,3)="Wom",ISERROR(MATCH($N518,Lge_Women!$B:$B,0))),1,0))</f>
        <v/>
      </c>
      <c r="D518" s="2" t="str">
        <f>IF($G518="","",IF(AND(OR($O518="Vet",$O518="Woman Vet"),ISERROR(MATCH($N518,Lge_Vets!$B:$B,0))),1,0))</f>
        <v/>
      </c>
      <c r="E518" s="2" t="str">
        <f>IF($G518="","",IF(AND(OR($O518="Junior",$O518="Woman Junior",$O518="Youth",$O518="Woman Youth"),ISERROR(MATCH($N518,Lge_Junior!$B:$B,0))),1,0))</f>
        <v/>
      </c>
      <c r="F518" s="2" t="str">
        <f>IF($G518="","",IF(AND(LEFT($O518,3)="You",ISERROR(MATCH($N518,Lge_Youth!$B:$B,0))),1,0))</f>
        <v/>
      </c>
      <c r="G518" s="3"/>
      <c r="H518" s="3"/>
      <c r="I518" s="3"/>
      <c r="J518" s="3"/>
      <c r="K518" s="6"/>
      <c r="L518" s="4"/>
      <c r="M518" s="4"/>
      <c r="N518" s="8"/>
      <c r="O518" s="8"/>
      <c r="P518" s="9"/>
      <c r="Q518" s="8"/>
      <c r="R518" s="8"/>
      <c r="S518" s="9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10"/>
    </row>
    <row r="519" spans="1:39" x14ac:dyDescent="0.2">
      <c r="A519" s="2" t="str">
        <f>IF($G519="","",IF(ISERROR(MATCH($N519,Lge_Scratch!$B:$B,0)),1,0))</f>
        <v/>
      </c>
      <c r="B519" s="2" t="str">
        <f>IF($G519="","",IF(AND(LEFT($Q519,8)="Non-aero",ISERROR(MATCH($N519,Lge_NonAero!$B:$B,0))),1,0))</f>
        <v/>
      </c>
      <c r="C519" s="5" t="str">
        <f>IF($G519="","",IF(AND(LEFT($O519,3)="Wom",ISERROR(MATCH($N519,Lge_Women!$B:$B,0))),1,0))</f>
        <v/>
      </c>
      <c r="D519" s="2" t="str">
        <f>IF($G519="","",IF(AND(OR($O519="Vet",$O519="Woman Vet"),ISERROR(MATCH($N519,Lge_Vets!$B:$B,0))),1,0))</f>
        <v/>
      </c>
      <c r="E519" s="2" t="str">
        <f>IF($G519="","",IF(AND(OR($O519="Junior",$O519="Woman Junior",$O519="Youth",$O519="Woman Youth"),ISERROR(MATCH($N519,Lge_Junior!$B:$B,0))),1,0))</f>
        <v/>
      </c>
      <c r="F519" s="2" t="str">
        <f>IF($G519="","",IF(AND(LEFT($O519,3)="You",ISERROR(MATCH($N519,Lge_Youth!$B:$B,0))),1,0))</f>
        <v/>
      </c>
      <c r="G519" s="3"/>
      <c r="H519" s="3"/>
      <c r="I519" s="3"/>
      <c r="J519" s="3"/>
      <c r="K519" s="6"/>
      <c r="L519" s="4"/>
      <c r="M519" s="4"/>
      <c r="N519" s="8"/>
      <c r="O519" s="8"/>
      <c r="P519" s="9"/>
      <c r="Q519" s="8"/>
      <c r="R519" s="8"/>
      <c r="S519" s="9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10"/>
    </row>
    <row r="520" spans="1:39" x14ac:dyDescent="0.2">
      <c r="A520" s="2" t="str">
        <f>IF($G520="","",IF(ISERROR(MATCH($N520,Lge_Scratch!$B:$B,0)),1,0))</f>
        <v/>
      </c>
      <c r="B520" s="2" t="str">
        <f>IF($G520="","",IF(AND(LEFT($Q520,8)="Non-aero",ISERROR(MATCH($N520,Lge_NonAero!$B:$B,0))),1,0))</f>
        <v/>
      </c>
      <c r="C520" s="5" t="str">
        <f>IF($G520="","",IF(AND(LEFT($O520,3)="Wom",ISERROR(MATCH($N520,Lge_Women!$B:$B,0))),1,0))</f>
        <v/>
      </c>
      <c r="D520" s="2" t="str">
        <f>IF($G520="","",IF(AND(OR($O520="Vet",$O520="Woman Vet"),ISERROR(MATCH($N520,Lge_Vets!$B:$B,0))),1,0))</f>
        <v/>
      </c>
      <c r="E520" s="2" t="str">
        <f>IF($G520="","",IF(AND(OR($O520="Junior",$O520="Woman Junior",$O520="Youth",$O520="Woman Youth"),ISERROR(MATCH($N520,Lge_Junior!$B:$B,0))),1,0))</f>
        <v/>
      </c>
      <c r="F520" s="2" t="str">
        <f>IF($G520="","",IF(AND(LEFT($O520,3)="You",ISERROR(MATCH($N520,Lge_Youth!$B:$B,0))),1,0))</f>
        <v/>
      </c>
      <c r="G520" s="3"/>
      <c r="H520" s="3"/>
      <c r="I520" s="3"/>
      <c r="J520" s="3"/>
      <c r="K520" s="6"/>
      <c r="L520" s="4"/>
      <c r="M520" s="4"/>
      <c r="N520" s="8"/>
      <c r="O520" s="8"/>
      <c r="P520" s="9"/>
      <c r="Q520" s="8"/>
      <c r="R520" s="8"/>
      <c r="S520" s="9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10"/>
    </row>
    <row r="521" spans="1:39" x14ac:dyDescent="0.2">
      <c r="A521" s="2" t="str">
        <f>IF($G521="","",IF(ISERROR(MATCH($N521,Lge_Scratch!$B:$B,0)),1,0))</f>
        <v/>
      </c>
      <c r="B521" s="2" t="str">
        <f>IF($G521="","",IF(AND(LEFT($Q521,8)="Non-aero",ISERROR(MATCH($N521,Lge_NonAero!$B:$B,0))),1,0))</f>
        <v/>
      </c>
      <c r="C521" s="5" t="str">
        <f>IF($G521="","",IF(AND(LEFT($O521,3)="Wom",ISERROR(MATCH($N521,Lge_Women!$B:$B,0))),1,0))</f>
        <v/>
      </c>
      <c r="D521" s="2" t="str">
        <f>IF($G521="","",IF(AND(OR($O521="Vet",$O521="Woman Vet"),ISERROR(MATCH($N521,Lge_Vets!$B:$B,0))),1,0))</f>
        <v/>
      </c>
      <c r="E521" s="2" t="str">
        <f>IF($G521="","",IF(AND(OR($O521="Junior",$O521="Woman Junior",$O521="Youth",$O521="Woman Youth"),ISERROR(MATCH($N521,Lge_Junior!$B:$B,0))),1,0))</f>
        <v/>
      </c>
      <c r="F521" s="2" t="str">
        <f>IF($G521="","",IF(AND(LEFT($O521,3)="You",ISERROR(MATCH($N521,Lge_Youth!$B:$B,0))),1,0))</f>
        <v/>
      </c>
      <c r="G521" s="3"/>
      <c r="H521" s="3"/>
      <c r="I521" s="3"/>
      <c r="J521" s="3"/>
      <c r="K521" s="6"/>
      <c r="L521" s="4"/>
      <c r="M521" s="4"/>
      <c r="N521" s="8"/>
      <c r="O521" s="8"/>
      <c r="P521" s="9"/>
      <c r="Q521" s="8"/>
      <c r="R521" s="8"/>
      <c r="S521" s="9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10"/>
    </row>
    <row r="522" spans="1:39" x14ac:dyDescent="0.2">
      <c r="A522" s="2" t="str">
        <f>IF($G522="","",IF(ISERROR(MATCH($N522,Lge_Scratch!$B:$B,0)),1,0))</f>
        <v/>
      </c>
      <c r="B522" s="2" t="str">
        <f>IF($G522="","",IF(AND(LEFT($Q522,8)="Non-aero",ISERROR(MATCH($N522,Lge_NonAero!$B:$B,0))),1,0))</f>
        <v/>
      </c>
      <c r="C522" s="5" t="str">
        <f>IF($G522="","",IF(AND(LEFT($O522,3)="Wom",ISERROR(MATCH($N522,Lge_Women!$B:$B,0))),1,0))</f>
        <v/>
      </c>
      <c r="D522" s="2" t="str">
        <f>IF($G522="","",IF(AND(OR($O522="Vet",$O522="Woman Vet"),ISERROR(MATCH($N522,Lge_Vets!$B:$B,0))),1,0))</f>
        <v/>
      </c>
      <c r="E522" s="2" t="str">
        <f>IF($G522="","",IF(AND(OR($O522="Junior",$O522="Woman Junior",$O522="Youth",$O522="Woman Youth"),ISERROR(MATCH($N522,Lge_Junior!$B:$B,0))),1,0))</f>
        <v/>
      </c>
      <c r="F522" s="2" t="str">
        <f>IF($G522="","",IF(AND(LEFT($O522,3)="You",ISERROR(MATCH($N522,Lge_Youth!$B:$B,0))),1,0))</f>
        <v/>
      </c>
      <c r="G522" s="3"/>
      <c r="H522" s="3"/>
      <c r="I522" s="3"/>
      <c r="J522" s="3"/>
      <c r="K522" s="6"/>
      <c r="L522" s="4"/>
      <c r="M522" s="4"/>
      <c r="N522" s="8"/>
      <c r="O522" s="8"/>
      <c r="P522" s="9"/>
      <c r="Q522" s="8"/>
      <c r="R522" s="8"/>
      <c r="S522" s="9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10"/>
    </row>
    <row r="523" spans="1:39" x14ac:dyDescent="0.2">
      <c r="A523" s="2" t="str">
        <f>IF($G523="","",IF(ISERROR(MATCH($N523,Lge_Scratch!$B:$B,0)),1,0))</f>
        <v/>
      </c>
      <c r="B523" s="2" t="str">
        <f>IF($G523="","",IF(AND(LEFT($Q523,8)="Non-aero",ISERROR(MATCH($N523,Lge_NonAero!$B:$B,0))),1,0))</f>
        <v/>
      </c>
      <c r="C523" s="5" t="str">
        <f>IF($G523="","",IF(AND(LEFT($O523,3)="Wom",ISERROR(MATCH($N523,Lge_Women!$B:$B,0))),1,0))</f>
        <v/>
      </c>
      <c r="D523" s="2" t="str">
        <f>IF($G523="","",IF(AND(OR($O523="Vet",$O523="Woman Vet"),ISERROR(MATCH($N523,Lge_Vets!$B:$B,0))),1,0))</f>
        <v/>
      </c>
      <c r="E523" s="2" t="str">
        <f>IF($G523="","",IF(AND(OR($O523="Junior",$O523="Woman Junior",$O523="Youth",$O523="Woman Youth"),ISERROR(MATCH($N523,Lge_Junior!$B:$B,0))),1,0))</f>
        <v/>
      </c>
      <c r="F523" s="2" t="str">
        <f>IF($G523="","",IF(AND(LEFT($O523,3)="You",ISERROR(MATCH($N523,Lge_Youth!$B:$B,0))),1,0))</f>
        <v/>
      </c>
      <c r="G523" s="3"/>
      <c r="H523" s="3"/>
      <c r="I523" s="3"/>
      <c r="J523" s="3"/>
      <c r="K523" s="6"/>
      <c r="L523" s="4"/>
      <c r="M523" s="4"/>
      <c r="N523" s="8"/>
      <c r="O523" s="8"/>
      <c r="P523" s="9"/>
      <c r="Q523" s="8"/>
      <c r="R523" s="8"/>
      <c r="S523" s="9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10"/>
    </row>
    <row r="524" spans="1:39" x14ac:dyDescent="0.2">
      <c r="A524" s="2" t="str">
        <f>IF($G524="","",IF(ISERROR(MATCH($N524,Lge_Scratch!$B:$B,0)),1,0))</f>
        <v/>
      </c>
      <c r="B524" s="2" t="str">
        <f>IF($G524="","",IF(AND(LEFT($Q524,8)="Non-aero",ISERROR(MATCH($N524,Lge_NonAero!$B:$B,0))),1,0))</f>
        <v/>
      </c>
      <c r="C524" s="5" t="str">
        <f>IF($G524="","",IF(AND(LEFT($O524,3)="Wom",ISERROR(MATCH($N524,Lge_Women!$B:$B,0))),1,0))</f>
        <v/>
      </c>
      <c r="D524" s="2" t="str">
        <f>IF($G524="","",IF(AND(OR($O524="Vet",$O524="Woman Vet"),ISERROR(MATCH($N524,Lge_Vets!$B:$B,0))),1,0))</f>
        <v/>
      </c>
      <c r="E524" s="2" t="str">
        <f>IF($G524="","",IF(AND(OR($O524="Junior",$O524="Woman Junior",$O524="Youth",$O524="Woman Youth"),ISERROR(MATCH($N524,Lge_Junior!$B:$B,0))),1,0))</f>
        <v/>
      </c>
      <c r="F524" s="2" t="str">
        <f>IF($G524="","",IF(AND(LEFT($O524,3)="You",ISERROR(MATCH($N524,Lge_Youth!$B:$B,0))),1,0))</f>
        <v/>
      </c>
      <c r="G524" s="3"/>
      <c r="H524" s="3"/>
      <c r="I524" s="3"/>
      <c r="J524" s="3"/>
      <c r="K524" s="6"/>
      <c r="L524" s="4"/>
      <c r="M524" s="4"/>
      <c r="N524" s="8"/>
      <c r="O524" s="8"/>
      <c r="P524" s="9"/>
      <c r="Q524" s="8"/>
      <c r="R524" s="8"/>
      <c r="S524" s="9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10"/>
    </row>
    <row r="525" spans="1:39" x14ac:dyDescent="0.2">
      <c r="A525" s="2" t="str">
        <f>IF($G525="","",IF(ISERROR(MATCH($N525,Lge_Scratch!$B:$B,0)),1,0))</f>
        <v/>
      </c>
      <c r="B525" s="2" t="str">
        <f>IF($G525="","",IF(AND(LEFT($Q525,8)="Non-aero",ISERROR(MATCH($N525,Lge_NonAero!$B:$B,0))),1,0))</f>
        <v/>
      </c>
      <c r="C525" s="5" t="str">
        <f>IF($G525="","",IF(AND(LEFT($O525,3)="Wom",ISERROR(MATCH($N525,Lge_Women!$B:$B,0))),1,0))</f>
        <v/>
      </c>
      <c r="D525" s="2" t="str">
        <f>IF($G525="","",IF(AND(OR($O525="Vet",$O525="Woman Vet"),ISERROR(MATCH($N525,Lge_Vets!$B:$B,0))),1,0))</f>
        <v/>
      </c>
      <c r="E525" s="2" t="str">
        <f>IF($G525="","",IF(AND(OR($O525="Junior",$O525="Woman Junior",$O525="Youth",$O525="Woman Youth"),ISERROR(MATCH($N525,Lge_Junior!$B:$B,0))),1,0))</f>
        <v/>
      </c>
      <c r="F525" s="2" t="str">
        <f>IF($G525="","",IF(AND(LEFT($O525,3)="You",ISERROR(MATCH($N525,Lge_Youth!$B:$B,0))),1,0))</f>
        <v/>
      </c>
      <c r="G525" s="3"/>
      <c r="H525" s="3"/>
      <c r="I525" s="3"/>
      <c r="J525" s="3"/>
      <c r="K525" s="6"/>
      <c r="L525" s="4"/>
      <c r="M525" s="4"/>
      <c r="N525" s="8"/>
      <c r="O525" s="8"/>
      <c r="P525" s="9"/>
      <c r="Q525" s="8"/>
      <c r="R525" s="8"/>
      <c r="S525" s="9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10"/>
    </row>
    <row r="526" spans="1:39" x14ac:dyDescent="0.2">
      <c r="A526" s="2" t="str">
        <f>IF($G526="","",IF(ISERROR(MATCH($N526,Lge_Scratch!$B:$B,0)),1,0))</f>
        <v/>
      </c>
      <c r="B526" s="2" t="str">
        <f>IF($G526="","",IF(AND(LEFT($Q526,8)="Non-aero",ISERROR(MATCH($N526,Lge_NonAero!$B:$B,0))),1,0))</f>
        <v/>
      </c>
      <c r="C526" s="5" t="str">
        <f>IF($G526="","",IF(AND(LEFT($O526,3)="Wom",ISERROR(MATCH($N526,Lge_Women!$B:$B,0))),1,0))</f>
        <v/>
      </c>
      <c r="D526" s="2" t="str">
        <f>IF($G526="","",IF(AND(OR($O526="Vet",$O526="Woman Vet"),ISERROR(MATCH($N526,Lge_Vets!$B:$B,0))),1,0))</f>
        <v/>
      </c>
      <c r="E526" s="2" t="str">
        <f>IF($G526="","",IF(AND(OR($O526="Junior",$O526="Woman Junior",$O526="Youth",$O526="Woman Youth"),ISERROR(MATCH($N526,Lge_Junior!$B:$B,0))),1,0))</f>
        <v/>
      </c>
      <c r="F526" s="2" t="str">
        <f>IF($G526="","",IF(AND(LEFT($O526,3)="You",ISERROR(MATCH($N526,Lge_Youth!$B:$B,0))),1,0))</f>
        <v/>
      </c>
      <c r="G526" s="3"/>
      <c r="H526" s="3"/>
      <c r="I526" s="3"/>
      <c r="J526" s="3"/>
      <c r="K526" s="6"/>
      <c r="L526" s="4"/>
      <c r="M526" s="4"/>
      <c r="N526" s="8"/>
      <c r="O526" s="8"/>
      <c r="P526" s="9"/>
      <c r="Q526" s="8"/>
      <c r="R526" s="8"/>
      <c r="S526" s="9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10"/>
    </row>
    <row r="527" spans="1:39" x14ac:dyDescent="0.2">
      <c r="A527" s="2" t="str">
        <f>IF($G527="","",IF(ISERROR(MATCH($N527,Lge_Scratch!$B:$B,0)),1,0))</f>
        <v/>
      </c>
      <c r="B527" s="2" t="str">
        <f>IF($G527="","",IF(AND(LEFT($Q527,8)="Non-aero",ISERROR(MATCH($N527,Lge_NonAero!$B:$B,0))),1,0))</f>
        <v/>
      </c>
      <c r="C527" s="5" t="str">
        <f>IF($G527="","",IF(AND(LEFT($O527,3)="Wom",ISERROR(MATCH($N527,Lge_Women!$B:$B,0))),1,0))</f>
        <v/>
      </c>
      <c r="D527" s="2" t="str">
        <f>IF($G527="","",IF(AND(OR($O527="Vet",$O527="Woman Vet"),ISERROR(MATCH($N527,Lge_Vets!$B:$B,0))),1,0))</f>
        <v/>
      </c>
      <c r="E527" s="2" t="str">
        <f>IF($G527="","",IF(AND(OR($O527="Junior",$O527="Woman Junior",$O527="Youth",$O527="Woman Youth"),ISERROR(MATCH($N527,Lge_Junior!$B:$B,0))),1,0))</f>
        <v/>
      </c>
      <c r="F527" s="2" t="str">
        <f>IF($G527="","",IF(AND(LEFT($O527,3)="You",ISERROR(MATCH($N527,Lge_Youth!$B:$B,0))),1,0))</f>
        <v/>
      </c>
      <c r="G527" s="3"/>
      <c r="H527" s="3"/>
      <c r="I527" s="3"/>
      <c r="J527" s="3"/>
      <c r="K527" s="6"/>
      <c r="L527" s="4"/>
      <c r="M527" s="4"/>
      <c r="N527" s="8"/>
      <c r="O527" s="8"/>
      <c r="P527" s="9"/>
      <c r="Q527" s="8"/>
      <c r="R527" s="8"/>
      <c r="S527" s="9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10"/>
    </row>
    <row r="528" spans="1:39" x14ac:dyDescent="0.2">
      <c r="A528" s="2" t="str">
        <f>IF($G528="","",IF(ISERROR(MATCH($N528,Lge_Scratch!$B:$B,0)),1,0))</f>
        <v/>
      </c>
      <c r="B528" s="2" t="str">
        <f>IF($G528="","",IF(AND(LEFT($Q528,8)="Non-aero",ISERROR(MATCH($N528,Lge_NonAero!$B:$B,0))),1,0))</f>
        <v/>
      </c>
      <c r="C528" s="5" t="str">
        <f>IF($G528="","",IF(AND(LEFT($O528,3)="Wom",ISERROR(MATCH($N528,Lge_Women!$B:$B,0))),1,0))</f>
        <v/>
      </c>
      <c r="D528" s="2" t="str">
        <f>IF($G528="","",IF(AND(OR($O528="Vet",$O528="Woman Vet"),ISERROR(MATCH($N528,Lge_Vets!$B:$B,0))),1,0))</f>
        <v/>
      </c>
      <c r="E528" s="2" t="str">
        <f>IF($G528="","",IF(AND(OR($O528="Junior",$O528="Woman Junior",$O528="Youth",$O528="Woman Youth"),ISERROR(MATCH($N528,Lge_Junior!$B:$B,0))),1,0))</f>
        <v/>
      </c>
      <c r="F528" s="2" t="str">
        <f>IF($G528="","",IF(AND(LEFT($O528,3)="You",ISERROR(MATCH($N528,Lge_Youth!$B:$B,0))),1,0))</f>
        <v/>
      </c>
      <c r="G528" s="3"/>
      <c r="H528" s="3"/>
      <c r="I528" s="3"/>
      <c r="J528" s="3"/>
      <c r="K528" s="6"/>
      <c r="L528" s="4"/>
      <c r="M528" s="4"/>
      <c r="N528" s="8"/>
      <c r="O528" s="8"/>
      <c r="P528" s="9"/>
      <c r="Q528" s="8"/>
      <c r="R528" s="8"/>
      <c r="S528" s="9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10"/>
    </row>
    <row r="529" spans="1:39" x14ac:dyDescent="0.2">
      <c r="A529" s="2" t="str">
        <f>IF($G529="","",IF(ISERROR(MATCH($N529,Lge_Scratch!$B:$B,0)),1,0))</f>
        <v/>
      </c>
      <c r="B529" s="2" t="str">
        <f>IF($G529="","",IF(AND(LEFT($Q529,8)="Non-aero",ISERROR(MATCH($N529,Lge_NonAero!$B:$B,0))),1,0))</f>
        <v/>
      </c>
      <c r="C529" s="5" t="str">
        <f>IF($G529="","",IF(AND(LEFT($O529,3)="Wom",ISERROR(MATCH($N529,Lge_Women!$B:$B,0))),1,0))</f>
        <v/>
      </c>
      <c r="D529" s="2" t="str">
        <f>IF($G529="","",IF(AND(OR($O529="Vet",$O529="Woman Vet"),ISERROR(MATCH($N529,Lge_Vets!$B:$B,0))),1,0))</f>
        <v/>
      </c>
      <c r="E529" s="2" t="str">
        <f>IF($G529="","",IF(AND(OR($O529="Junior",$O529="Woman Junior",$O529="Youth",$O529="Woman Youth"),ISERROR(MATCH($N529,Lge_Junior!$B:$B,0))),1,0))</f>
        <v/>
      </c>
      <c r="F529" s="2" t="str">
        <f>IF($G529="","",IF(AND(LEFT($O529,3)="You",ISERROR(MATCH($N529,Lge_Youth!$B:$B,0))),1,0))</f>
        <v/>
      </c>
      <c r="G529" s="3"/>
      <c r="H529" s="3"/>
      <c r="I529" s="3"/>
      <c r="J529" s="3"/>
      <c r="K529" s="6"/>
      <c r="L529" s="4"/>
      <c r="M529" s="4"/>
      <c r="N529" s="8"/>
      <c r="O529" s="8"/>
      <c r="P529" s="9"/>
      <c r="Q529" s="8"/>
      <c r="R529" s="8"/>
      <c r="S529" s="9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10"/>
    </row>
    <row r="530" spans="1:39" x14ac:dyDescent="0.2">
      <c r="A530" s="2" t="str">
        <f>IF($G530="","",IF(ISERROR(MATCH($N530,Lge_Scratch!$B:$B,0)),1,0))</f>
        <v/>
      </c>
      <c r="B530" s="2" t="str">
        <f>IF($G530="","",IF(AND(LEFT($Q530,8)="Non-aero",ISERROR(MATCH($N530,Lge_NonAero!$B:$B,0))),1,0))</f>
        <v/>
      </c>
      <c r="C530" s="5" t="str">
        <f>IF($G530="","",IF(AND(LEFT($O530,3)="Wom",ISERROR(MATCH($N530,Lge_Women!$B:$B,0))),1,0))</f>
        <v/>
      </c>
      <c r="D530" s="2" t="str">
        <f>IF($G530="","",IF(AND(OR($O530="Vet",$O530="Woman Vet"),ISERROR(MATCH($N530,Lge_Vets!$B:$B,0))),1,0))</f>
        <v/>
      </c>
      <c r="E530" s="2" t="str">
        <f>IF($G530="","",IF(AND(OR($O530="Junior",$O530="Woman Junior",$O530="Youth",$O530="Woman Youth"),ISERROR(MATCH($N530,Lge_Junior!$B:$B,0))),1,0))</f>
        <v/>
      </c>
      <c r="F530" s="2" t="str">
        <f>IF($G530="","",IF(AND(LEFT($O530,3)="You",ISERROR(MATCH($N530,Lge_Youth!$B:$B,0))),1,0))</f>
        <v/>
      </c>
      <c r="G530" s="3"/>
      <c r="H530" s="3"/>
      <c r="I530" s="3"/>
      <c r="J530" s="3"/>
      <c r="K530" s="6"/>
      <c r="L530" s="4"/>
      <c r="M530" s="4"/>
      <c r="N530" s="8"/>
      <c r="O530" s="8"/>
      <c r="P530" s="9"/>
      <c r="Q530" s="8"/>
      <c r="R530" s="8"/>
      <c r="S530" s="9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10"/>
    </row>
    <row r="531" spans="1:39" x14ac:dyDescent="0.2">
      <c r="A531" s="2" t="str">
        <f>IF($G531="","",IF(ISERROR(MATCH($N531,Lge_Scratch!$B:$B,0)),1,0))</f>
        <v/>
      </c>
      <c r="B531" s="2" t="str">
        <f>IF($G531="","",IF(AND(LEFT($Q531,8)="Non-aero",ISERROR(MATCH($N531,Lge_NonAero!$B:$B,0))),1,0))</f>
        <v/>
      </c>
      <c r="C531" s="5" t="str">
        <f>IF($G531="","",IF(AND(LEFT($O531,3)="Wom",ISERROR(MATCH($N531,Lge_Women!$B:$B,0))),1,0))</f>
        <v/>
      </c>
      <c r="D531" s="2" t="str">
        <f>IF($G531="","",IF(AND(OR($O531="Vet",$O531="Woman Vet"),ISERROR(MATCH($N531,Lge_Vets!$B:$B,0))),1,0))</f>
        <v/>
      </c>
      <c r="E531" s="2" t="str">
        <f>IF($G531="","",IF(AND(OR($O531="Junior",$O531="Woman Junior",$O531="Youth",$O531="Woman Youth"),ISERROR(MATCH($N531,Lge_Junior!$B:$B,0))),1,0))</f>
        <v/>
      </c>
      <c r="F531" s="2" t="str">
        <f>IF($G531="","",IF(AND(LEFT($O531,3)="You",ISERROR(MATCH($N531,Lge_Youth!$B:$B,0))),1,0))</f>
        <v/>
      </c>
      <c r="G531" s="3"/>
      <c r="H531" s="3"/>
      <c r="I531" s="3"/>
      <c r="J531" s="3"/>
      <c r="K531" s="6"/>
      <c r="L531" s="4"/>
      <c r="M531" s="4"/>
      <c r="N531" s="8"/>
      <c r="O531" s="8"/>
      <c r="P531" s="9"/>
      <c r="Q531" s="8"/>
      <c r="R531" s="8"/>
      <c r="S531" s="9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10"/>
    </row>
    <row r="532" spans="1:39" x14ac:dyDescent="0.2">
      <c r="A532" s="2" t="str">
        <f>IF($G532="","",IF(ISERROR(MATCH($N532,Lge_Scratch!$B:$B,0)),1,0))</f>
        <v/>
      </c>
      <c r="B532" s="2" t="str">
        <f>IF($G532="","",IF(AND(LEFT($Q532,8)="Non-aero",ISERROR(MATCH($N532,Lge_NonAero!$B:$B,0))),1,0))</f>
        <v/>
      </c>
      <c r="C532" s="5" t="str">
        <f>IF($G532="","",IF(AND(LEFT($O532,3)="Wom",ISERROR(MATCH($N532,Lge_Women!$B:$B,0))),1,0))</f>
        <v/>
      </c>
      <c r="D532" s="2" t="str">
        <f>IF($G532="","",IF(AND(OR($O532="Vet",$O532="Woman Vet"),ISERROR(MATCH($N532,Lge_Vets!$B:$B,0))),1,0))</f>
        <v/>
      </c>
      <c r="E532" s="2" t="str">
        <f>IF($G532="","",IF(AND(OR($O532="Junior",$O532="Woman Junior",$O532="Youth",$O532="Woman Youth"),ISERROR(MATCH($N532,Lge_Junior!$B:$B,0))),1,0))</f>
        <v/>
      </c>
      <c r="F532" s="2" t="str">
        <f>IF($G532="","",IF(AND(LEFT($O532,3)="You",ISERROR(MATCH($N532,Lge_Youth!$B:$B,0))),1,0))</f>
        <v/>
      </c>
      <c r="G532" s="3"/>
      <c r="H532" s="3"/>
      <c r="I532" s="3"/>
      <c r="J532" s="3"/>
      <c r="K532" s="6"/>
      <c r="L532" s="4"/>
      <c r="M532" s="4"/>
      <c r="N532" s="8"/>
      <c r="O532" s="8"/>
      <c r="P532" s="9"/>
      <c r="Q532" s="8"/>
      <c r="R532" s="8"/>
      <c r="S532" s="9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10"/>
    </row>
    <row r="533" spans="1:39" x14ac:dyDescent="0.2">
      <c r="A533" s="2" t="str">
        <f>IF($G533="","",IF(ISERROR(MATCH($N533,Lge_Scratch!$B:$B,0)),1,0))</f>
        <v/>
      </c>
      <c r="B533" s="2" t="str">
        <f>IF($G533="","",IF(AND(LEFT($Q533,8)="Non-aero",ISERROR(MATCH($N533,Lge_NonAero!$B:$B,0))),1,0))</f>
        <v/>
      </c>
      <c r="C533" s="5" t="str">
        <f>IF($G533="","",IF(AND(LEFT($O533,3)="Wom",ISERROR(MATCH($N533,Lge_Women!$B:$B,0))),1,0))</f>
        <v/>
      </c>
      <c r="D533" s="2" t="str">
        <f>IF($G533="","",IF(AND(OR($O533="Vet",$O533="Woman Vet"),ISERROR(MATCH($N533,Lge_Vets!$B:$B,0))),1,0))</f>
        <v/>
      </c>
      <c r="E533" s="2" t="str">
        <f>IF($G533="","",IF(AND(OR($O533="Junior",$O533="Woman Junior",$O533="Youth",$O533="Woman Youth"),ISERROR(MATCH($N533,Lge_Junior!$B:$B,0))),1,0))</f>
        <v/>
      </c>
      <c r="F533" s="2" t="str">
        <f>IF($G533="","",IF(AND(LEFT($O533,3)="You",ISERROR(MATCH($N533,Lge_Youth!$B:$B,0))),1,0))</f>
        <v/>
      </c>
      <c r="G533" s="3"/>
      <c r="H533" s="3"/>
      <c r="I533" s="3"/>
      <c r="J533" s="3"/>
      <c r="K533" s="6"/>
      <c r="L533" s="4"/>
      <c r="M533" s="4"/>
      <c r="N533" s="8"/>
      <c r="O533" s="8"/>
      <c r="P533" s="9"/>
      <c r="Q533" s="8"/>
      <c r="R533" s="8"/>
      <c r="S533" s="9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10"/>
    </row>
    <row r="534" spans="1:39" x14ac:dyDescent="0.2">
      <c r="A534" s="2" t="str">
        <f>IF($G534="","",IF(ISERROR(MATCH($N534,Lge_Scratch!$B:$B,0)),1,0))</f>
        <v/>
      </c>
      <c r="B534" s="2" t="str">
        <f>IF($G534="","",IF(AND(LEFT($Q534,8)="Non-aero",ISERROR(MATCH($N534,Lge_NonAero!$B:$B,0))),1,0))</f>
        <v/>
      </c>
      <c r="C534" s="5" t="str">
        <f>IF($G534="","",IF(AND(LEFT($O534,3)="Wom",ISERROR(MATCH($N534,Lge_Women!$B:$B,0))),1,0))</f>
        <v/>
      </c>
      <c r="D534" s="2" t="str">
        <f>IF($G534="","",IF(AND(OR($O534="Vet",$O534="Woman Vet"),ISERROR(MATCH($N534,Lge_Vets!$B:$B,0))),1,0))</f>
        <v/>
      </c>
      <c r="E534" s="2" t="str">
        <f>IF($G534="","",IF(AND(OR($O534="Junior",$O534="Woman Junior",$O534="Youth",$O534="Woman Youth"),ISERROR(MATCH($N534,Lge_Junior!$B:$B,0))),1,0))</f>
        <v/>
      </c>
      <c r="F534" s="2" t="str">
        <f>IF($G534="","",IF(AND(LEFT($O534,3)="You",ISERROR(MATCH($N534,Lge_Youth!$B:$B,0))),1,0))</f>
        <v/>
      </c>
      <c r="G534" s="3"/>
      <c r="H534" s="3"/>
      <c r="I534" s="3"/>
      <c r="J534" s="3"/>
      <c r="K534" s="6"/>
      <c r="L534" s="4"/>
      <c r="M534" s="4"/>
      <c r="N534" s="8"/>
      <c r="O534" s="8"/>
      <c r="P534" s="9"/>
      <c r="Q534" s="8"/>
      <c r="R534" s="8"/>
      <c r="S534" s="9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10"/>
    </row>
    <row r="535" spans="1:39" x14ac:dyDescent="0.2">
      <c r="A535" s="2" t="str">
        <f>IF($G535="","",IF(ISERROR(MATCH($N535,Lge_Scratch!$B:$B,0)),1,0))</f>
        <v/>
      </c>
      <c r="B535" s="2" t="str">
        <f>IF($G535="","",IF(AND(LEFT($Q535,8)="Non-aero",ISERROR(MATCH($N535,Lge_NonAero!$B:$B,0))),1,0))</f>
        <v/>
      </c>
      <c r="C535" s="5" t="str">
        <f>IF($G535="","",IF(AND(LEFT($O535,3)="Wom",ISERROR(MATCH($N535,Lge_Women!$B:$B,0))),1,0))</f>
        <v/>
      </c>
      <c r="D535" s="2" t="str">
        <f>IF($G535="","",IF(AND(OR($O535="Vet",$O535="Woman Vet"),ISERROR(MATCH($N535,Lge_Vets!$B:$B,0))),1,0))</f>
        <v/>
      </c>
      <c r="E535" s="2" t="str">
        <f>IF($G535="","",IF(AND(OR($O535="Junior",$O535="Woman Junior",$O535="Youth",$O535="Woman Youth"),ISERROR(MATCH($N535,Lge_Junior!$B:$B,0))),1,0))</f>
        <v/>
      </c>
      <c r="F535" s="2" t="str">
        <f>IF($G535="","",IF(AND(LEFT($O535,3)="You",ISERROR(MATCH($N535,Lge_Youth!$B:$B,0))),1,0))</f>
        <v/>
      </c>
      <c r="G535" s="3"/>
      <c r="H535" s="3"/>
      <c r="I535" s="3"/>
      <c r="J535" s="3"/>
      <c r="K535" s="6"/>
      <c r="L535" s="4"/>
      <c r="M535" s="4"/>
      <c r="N535" s="8"/>
      <c r="O535" s="8"/>
      <c r="P535" s="9"/>
      <c r="Q535" s="8"/>
      <c r="R535" s="8"/>
      <c r="S535" s="9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10"/>
    </row>
    <row r="536" spans="1:39" x14ac:dyDescent="0.2">
      <c r="A536" s="2" t="str">
        <f>IF($G536="","",IF(ISERROR(MATCH($N536,Lge_Scratch!$B:$B,0)),1,0))</f>
        <v/>
      </c>
      <c r="B536" s="2" t="str">
        <f>IF($G536="","",IF(AND(LEFT($Q536,8)="Non-aero",ISERROR(MATCH($N536,Lge_NonAero!$B:$B,0))),1,0))</f>
        <v/>
      </c>
      <c r="C536" s="5" t="str">
        <f>IF($G536="","",IF(AND(LEFT($O536,3)="Wom",ISERROR(MATCH($N536,Lge_Women!$B:$B,0))),1,0))</f>
        <v/>
      </c>
      <c r="D536" s="2" t="str">
        <f>IF($G536="","",IF(AND(OR($O536="Vet",$O536="Woman Vet"),ISERROR(MATCH($N536,Lge_Vets!$B:$B,0))),1,0))</f>
        <v/>
      </c>
      <c r="E536" s="2" t="str">
        <f>IF($G536="","",IF(AND(OR($O536="Junior",$O536="Woman Junior",$O536="Youth",$O536="Woman Youth"),ISERROR(MATCH($N536,Lge_Junior!$B:$B,0))),1,0))</f>
        <v/>
      </c>
      <c r="F536" s="2" t="str">
        <f>IF($G536="","",IF(AND(LEFT($O536,3)="You",ISERROR(MATCH($N536,Lge_Youth!$B:$B,0))),1,0))</f>
        <v/>
      </c>
      <c r="G536" s="3"/>
      <c r="H536" s="3"/>
      <c r="I536" s="3"/>
      <c r="J536" s="3"/>
      <c r="K536" s="6"/>
      <c r="L536" s="4"/>
      <c r="M536" s="4"/>
      <c r="N536" s="8"/>
      <c r="O536" s="8"/>
      <c r="P536" s="9"/>
      <c r="Q536" s="8"/>
      <c r="R536" s="8"/>
      <c r="S536" s="9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10"/>
    </row>
    <row r="537" spans="1:39" x14ac:dyDescent="0.2">
      <c r="A537" s="2" t="str">
        <f>IF($G537="","",IF(ISERROR(MATCH($N537,Lge_Scratch!$B:$B,0)),1,0))</f>
        <v/>
      </c>
      <c r="B537" s="2" t="str">
        <f>IF($G537="","",IF(AND(LEFT($Q537,8)="Non-aero",ISERROR(MATCH($N537,Lge_NonAero!$B:$B,0))),1,0))</f>
        <v/>
      </c>
      <c r="C537" s="5" t="str">
        <f>IF($G537="","",IF(AND(LEFT($O537,3)="Wom",ISERROR(MATCH($N537,Lge_Women!$B:$B,0))),1,0))</f>
        <v/>
      </c>
      <c r="D537" s="2" t="str">
        <f>IF($G537="","",IF(AND(OR($O537="Vet",$O537="Woman Vet"),ISERROR(MATCH($N537,Lge_Vets!$B:$B,0))),1,0))</f>
        <v/>
      </c>
      <c r="E537" s="2" t="str">
        <f>IF($G537="","",IF(AND(OR($O537="Junior",$O537="Woman Junior",$O537="Youth",$O537="Woman Youth"),ISERROR(MATCH($N537,Lge_Junior!$B:$B,0))),1,0))</f>
        <v/>
      </c>
      <c r="F537" s="2" t="str">
        <f>IF($G537="","",IF(AND(LEFT($O537,3)="You",ISERROR(MATCH($N537,Lge_Youth!$B:$B,0))),1,0))</f>
        <v/>
      </c>
      <c r="G537" s="3"/>
      <c r="H537" s="3"/>
      <c r="I537" s="3"/>
      <c r="J537" s="3"/>
      <c r="K537" s="6"/>
      <c r="L537" s="4"/>
      <c r="M537" s="4"/>
      <c r="N537" s="8"/>
      <c r="O537" s="8"/>
      <c r="P537" s="9"/>
      <c r="Q537" s="8"/>
      <c r="R537" s="8"/>
      <c r="S537" s="9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10"/>
    </row>
    <row r="538" spans="1:39" x14ac:dyDescent="0.2">
      <c r="A538" s="2" t="str">
        <f>IF($G538="","",IF(ISERROR(MATCH($N538,Lge_Scratch!$B:$B,0)),1,0))</f>
        <v/>
      </c>
      <c r="B538" s="2" t="str">
        <f>IF($G538="","",IF(AND(LEFT($Q538,8)="Non-aero",ISERROR(MATCH($N538,Lge_NonAero!$B:$B,0))),1,0))</f>
        <v/>
      </c>
      <c r="C538" s="5" t="str">
        <f>IF($G538="","",IF(AND(LEFT($O538,3)="Wom",ISERROR(MATCH($N538,Lge_Women!$B:$B,0))),1,0))</f>
        <v/>
      </c>
      <c r="D538" s="2" t="str">
        <f>IF($G538="","",IF(AND(OR($O538="Vet",$O538="Woman Vet"),ISERROR(MATCH($N538,Lge_Vets!$B:$B,0))),1,0))</f>
        <v/>
      </c>
      <c r="E538" s="2" t="str">
        <f>IF($G538="","",IF(AND(OR($O538="Junior",$O538="Woman Junior",$O538="Youth",$O538="Woman Youth"),ISERROR(MATCH($N538,Lge_Junior!$B:$B,0))),1,0))</f>
        <v/>
      </c>
      <c r="F538" s="2" t="str">
        <f>IF($G538="","",IF(AND(LEFT($O538,3)="You",ISERROR(MATCH($N538,Lge_Youth!$B:$B,0))),1,0))</f>
        <v/>
      </c>
      <c r="G538" s="3"/>
      <c r="H538" s="3"/>
      <c r="I538" s="3"/>
      <c r="J538" s="3"/>
      <c r="K538" s="6"/>
      <c r="L538" s="4"/>
      <c r="M538" s="4"/>
      <c r="N538" s="8"/>
      <c r="O538" s="8"/>
      <c r="P538" s="9"/>
      <c r="Q538" s="8"/>
      <c r="R538" s="8"/>
      <c r="S538" s="9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10"/>
    </row>
    <row r="539" spans="1:39" x14ac:dyDescent="0.2">
      <c r="A539" s="2" t="str">
        <f>IF($G539="","",IF(ISERROR(MATCH($N539,Lge_Scratch!$B:$B,0)),1,0))</f>
        <v/>
      </c>
      <c r="B539" s="2" t="str">
        <f>IF($G539="","",IF(AND(LEFT($Q539,8)="Non-aero",ISERROR(MATCH($N539,Lge_NonAero!$B:$B,0))),1,0))</f>
        <v/>
      </c>
      <c r="C539" s="5" t="str">
        <f>IF($G539="","",IF(AND(LEFT($O539,3)="Wom",ISERROR(MATCH($N539,Lge_Women!$B:$B,0))),1,0))</f>
        <v/>
      </c>
      <c r="D539" s="2" t="str">
        <f>IF($G539="","",IF(AND(OR($O539="Vet",$O539="Woman Vet"),ISERROR(MATCH($N539,Lge_Vets!$B:$B,0))),1,0))</f>
        <v/>
      </c>
      <c r="E539" s="2" t="str">
        <f>IF($G539="","",IF(AND(OR($O539="Junior",$O539="Woman Junior",$O539="Youth",$O539="Woman Youth"),ISERROR(MATCH($N539,Lge_Junior!$B:$B,0))),1,0))</f>
        <v/>
      </c>
      <c r="F539" s="2" t="str">
        <f>IF($G539="","",IF(AND(LEFT($O539,3)="You",ISERROR(MATCH($N539,Lge_Youth!$B:$B,0))),1,0))</f>
        <v/>
      </c>
      <c r="G539" s="3"/>
      <c r="H539" s="3"/>
      <c r="I539" s="3"/>
      <c r="J539" s="3"/>
      <c r="K539" s="6"/>
      <c r="L539" s="4"/>
      <c r="M539" s="4"/>
      <c r="N539" s="8"/>
      <c r="O539" s="8"/>
      <c r="P539" s="9"/>
      <c r="Q539" s="8"/>
      <c r="R539" s="8"/>
      <c r="S539" s="9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10"/>
    </row>
    <row r="540" spans="1:39" x14ac:dyDescent="0.2">
      <c r="A540" s="2" t="str">
        <f>IF($G540="","",IF(ISERROR(MATCH($N540,Lge_Scratch!$B:$B,0)),1,0))</f>
        <v/>
      </c>
      <c r="B540" s="2" t="str">
        <f>IF($G540="","",IF(AND(LEFT($Q540,8)="Non-aero",ISERROR(MATCH($N540,Lge_NonAero!$B:$B,0))),1,0))</f>
        <v/>
      </c>
      <c r="C540" s="5" t="str">
        <f>IF($G540="","",IF(AND(LEFT($O540,3)="Wom",ISERROR(MATCH($N540,Lge_Women!$B:$B,0))),1,0))</f>
        <v/>
      </c>
      <c r="D540" s="2" t="str">
        <f>IF($G540="","",IF(AND(OR($O540="Vet",$O540="Woman Vet"),ISERROR(MATCH($N540,Lge_Vets!$B:$B,0))),1,0))</f>
        <v/>
      </c>
      <c r="E540" s="2" t="str">
        <f>IF($G540="","",IF(AND(OR($O540="Junior",$O540="Woman Junior",$O540="Youth",$O540="Woman Youth"),ISERROR(MATCH($N540,Lge_Junior!$B:$B,0))),1,0))</f>
        <v/>
      </c>
      <c r="F540" s="2" t="str">
        <f>IF($G540="","",IF(AND(LEFT($O540,3)="You",ISERROR(MATCH($N540,Lge_Youth!$B:$B,0))),1,0))</f>
        <v/>
      </c>
      <c r="G540" s="3"/>
      <c r="H540" s="3"/>
      <c r="I540" s="3"/>
      <c r="J540" s="3"/>
      <c r="K540" s="6"/>
      <c r="L540" s="4"/>
      <c r="M540" s="4"/>
      <c r="N540" s="8"/>
      <c r="O540" s="8"/>
      <c r="P540" s="9"/>
      <c r="Q540" s="8"/>
      <c r="R540" s="8"/>
      <c r="S540" s="9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10"/>
    </row>
    <row r="541" spans="1:39" x14ac:dyDescent="0.2">
      <c r="A541" s="2" t="str">
        <f>IF($G541="","",IF(ISERROR(MATCH($N541,Lge_Scratch!$B:$B,0)),1,0))</f>
        <v/>
      </c>
      <c r="B541" s="2" t="str">
        <f>IF($G541="","",IF(AND(LEFT($Q541,8)="Non-aero",ISERROR(MATCH($N541,Lge_NonAero!$B:$B,0))),1,0))</f>
        <v/>
      </c>
      <c r="C541" s="5" t="str">
        <f>IF($G541="","",IF(AND(LEFT($O541,3)="Wom",ISERROR(MATCH($N541,Lge_Women!$B:$B,0))),1,0))</f>
        <v/>
      </c>
      <c r="D541" s="2" t="str">
        <f>IF($G541="","",IF(AND(OR($O541="Vet",$O541="Woman Vet"),ISERROR(MATCH($N541,Lge_Vets!$B:$B,0))),1,0))</f>
        <v/>
      </c>
      <c r="E541" s="2" t="str">
        <f>IF($G541="","",IF(AND(OR($O541="Junior",$O541="Woman Junior",$O541="Youth",$O541="Woman Youth"),ISERROR(MATCH($N541,Lge_Junior!$B:$B,0))),1,0))</f>
        <v/>
      </c>
      <c r="F541" s="2" t="str">
        <f>IF($G541="","",IF(AND(LEFT($O541,3)="You",ISERROR(MATCH($N541,Lge_Youth!$B:$B,0))),1,0))</f>
        <v/>
      </c>
      <c r="G541" s="3"/>
      <c r="H541" s="3"/>
      <c r="I541" s="3"/>
      <c r="J541" s="3"/>
      <c r="K541" s="6"/>
      <c r="L541" s="4"/>
      <c r="M541" s="4"/>
      <c r="N541" s="8"/>
      <c r="O541" s="8"/>
      <c r="P541" s="9"/>
      <c r="Q541" s="8"/>
      <c r="R541" s="8"/>
      <c r="S541" s="9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10"/>
    </row>
    <row r="542" spans="1:39" x14ac:dyDescent="0.2">
      <c r="A542" s="2" t="str">
        <f>IF($G542="","",IF(ISERROR(MATCH($N542,Lge_Scratch!$B:$B,0)),1,0))</f>
        <v/>
      </c>
      <c r="B542" s="2" t="str">
        <f>IF($G542="","",IF(AND(LEFT($Q542,8)="Non-aero",ISERROR(MATCH($N542,Lge_NonAero!$B:$B,0))),1,0))</f>
        <v/>
      </c>
      <c r="C542" s="5" t="str">
        <f>IF($G542="","",IF(AND(LEFT($O542,3)="Wom",ISERROR(MATCH($N542,Lge_Women!$B:$B,0))),1,0))</f>
        <v/>
      </c>
      <c r="D542" s="2" t="str">
        <f>IF($G542="","",IF(AND(OR($O542="Vet",$O542="Woman Vet"),ISERROR(MATCH($N542,Lge_Vets!$B:$B,0))),1,0))</f>
        <v/>
      </c>
      <c r="E542" s="2" t="str">
        <f>IF($G542="","",IF(AND(OR($O542="Junior",$O542="Woman Junior",$O542="Youth",$O542="Woman Youth"),ISERROR(MATCH($N542,Lge_Junior!$B:$B,0))),1,0))</f>
        <v/>
      </c>
      <c r="F542" s="2" t="str">
        <f>IF($G542="","",IF(AND(LEFT($O542,3)="You",ISERROR(MATCH($N542,Lge_Youth!$B:$B,0))),1,0))</f>
        <v/>
      </c>
      <c r="G542" s="3"/>
      <c r="H542" s="3"/>
      <c r="I542" s="3"/>
      <c r="J542" s="3"/>
      <c r="K542" s="6"/>
      <c r="L542" s="4"/>
      <c r="M542" s="4"/>
      <c r="N542" s="8"/>
      <c r="O542" s="8"/>
      <c r="P542" s="9"/>
      <c r="Q542" s="8"/>
      <c r="R542" s="8"/>
      <c r="S542" s="9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10"/>
    </row>
    <row r="543" spans="1:39" x14ac:dyDescent="0.2">
      <c r="A543" s="2" t="str">
        <f>IF($G543="","",IF(ISERROR(MATCH($N543,Lge_Scratch!$B:$B,0)),1,0))</f>
        <v/>
      </c>
      <c r="B543" s="2" t="str">
        <f>IF($G543="","",IF(AND(LEFT($Q543,8)="Non-aero",ISERROR(MATCH($N543,Lge_NonAero!$B:$B,0))),1,0))</f>
        <v/>
      </c>
      <c r="C543" s="5" t="str">
        <f>IF($G543="","",IF(AND(LEFT($O543,3)="Wom",ISERROR(MATCH($N543,Lge_Women!$B:$B,0))),1,0))</f>
        <v/>
      </c>
      <c r="D543" s="2" t="str">
        <f>IF($G543="","",IF(AND(OR($O543="Vet",$O543="Woman Vet"),ISERROR(MATCH($N543,Lge_Vets!$B:$B,0))),1,0))</f>
        <v/>
      </c>
      <c r="E543" s="2" t="str">
        <f>IF($G543="","",IF(AND(OR($O543="Junior",$O543="Woman Junior",$O543="Youth",$O543="Woman Youth"),ISERROR(MATCH($N543,Lge_Junior!$B:$B,0))),1,0))</f>
        <v/>
      </c>
      <c r="F543" s="2" t="str">
        <f>IF($G543="","",IF(AND(LEFT($O543,3)="You",ISERROR(MATCH($N543,Lge_Youth!$B:$B,0))),1,0))</f>
        <v/>
      </c>
      <c r="G543" s="3"/>
      <c r="H543" s="3"/>
      <c r="I543" s="3"/>
      <c r="J543" s="3"/>
      <c r="K543" s="6"/>
      <c r="L543" s="4"/>
      <c r="M543" s="4"/>
      <c r="N543" s="8"/>
      <c r="O543" s="8"/>
      <c r="P543" s="9"/>
      <c r="Q543" s="8"/>
      <c r="R543" s="8"/>
      <c r="S543" s="9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10"/>
    </row>
    <row r="544" spans="1:39" x14ac:dyDescent="0.2">
      <c r="A544" s="2" t="str">
        <f>IF($G544="","",IF(ISERROR(MATCH($N544,Lge_Scratch!$B:$B,0)),1,0))</f>
        <v/>
      </c>
      <c r="B544" s="2" t="str">
        <f>IF($G544="","",IF(AND(LEFT($Q544,8)="Non-aero",ISERROR(MATCH($N544,Lge_NonAero!$B:$B,0))),1,0))</f>
        <v/>
      </c>
      <c r="C544" s="5" t="str">
        <f>IF($G544="","",IF(AND(LEFT($O544,3)="Wom",ISERROR(MATCH($N544,Lge_Women!$B:$B,0))),1,0))</f>
        <v/>
      </c>
      <c r="D544" s="2" t="str">
        <f>IF($G544="","",IF(AND(OR($O544="Vet",$O544="Woman Vet"),ISERROR(MATCH($N544,Lge_Vets!$B:$B,0))),1,0))</f>
        <v/>
      </c>
      <c r="E544" s="2" t="str">
        <f>IF($G544="","",IF(AND(OR($O544="Junior",$O544="Woman Junior",$O544="Youth",$O544="Woman Youth"),ISERROR(MATCH($N544,Lge_Junior!$B:$B,0))),1,0))</f>
        <v/>
      </c>
      <c r="F544" s="2" t="str">
        <f>IF($G544="","",IF(AND(LEFT($O544,3)="You",ISERROR(MATCH($N544,Lge_Youth!$B:$B,0))),1,0))</f>
        <v/>
      </c>
      <c r="G544" s="3"/>
      <c r="H544" s="3"/>
      <c r="I544" s="3"/>
      <c r="J544" s="3"/>
      <c r="K544" s="6"/>
      <c r="L544" s="4"/>
      <c r="M544" s="4"/>
      <c r="N544" s="8"/>
      <c r="O544" s="8"/>
      <c r="P544" s="9"/>
      <c r="Q544" s="8"/>
      <c r="R544" s="8"/>
      <c r="S544" s="9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10"/>
    </row>
    <row r="545" spans="1:39" x14ac:dyDescent="0.2">
      <c r="A545" s="2" t="str">
        <f>IF($G545="","",IF(ISERROR(MATCH($N545,Lge_Scratch!$B:$B,0)),1,0))</f>
        <v/>
      </c>
      <c r="B545" s="2" t="str">
        <f>IF($G545="","",IF(AND(LEFT($Q545,8)="Non-aero",ISERROR(MATCH($N545,Lge_NonAero!$B:$B,0))),1,0))</f>
        <v/>
      </c>
      <c r="C545" s="5" t="str">
        <f>IF($G545="","",IF(AND(LEFT($O545,3)="Wom",ISERROR(MATCH($N545,Lge_Women!$B:$B,0))),1,0))</f>
        <v/>
      </c>
      <c r="D545" s="2" t="str">
        <f>IF($G545="","",IF(AND(OR($O545="Vet",$O545="Woman Vet"),ISERROR(MATCH($N545,Lge_Vets!$B:$B,0))),1,0))</f>
        <v/>
      </c>
      <c r="E545" s="2" t="str">
        <f>IF($G545="","",IF(AND(OR($O545="Junior",$O545="Woman Junior",$O545="Youth",$O545="Woman Youth"),ISERROR(MATCH($N545,Lge_Junior!$B:$B,0))),1,0))</f>
        <v/>
      </c>
      <c r="F545" s="2" t="str">
        <f>IF($G545="","",IF(AND(LEFT($O545,3)="You",ISERROR(MATCH($N545,Lge_Youth!$B:$B,0))),1,0))</f>
        <v/>
      </c>
      <c r="G545" s="3"/>
      <c r="H545" s="3"/>
      <c r="I545" s="3"/>
      <c r="J545" s="3"/>
      <c r="K545" s="6"/>
      <c r="L545" s="4"/>
      <c r="M545" s="4"/>
      <c r="N545" s="8"/>
      <c r="O545" s="8"/>
      <c r="P545" s="9"/>
      <c r="Q545" s="8"/>
      <c r="R545" s="8"/>
      <c r="S545" s="9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10"/>
    </row>
    <row r="546" spans="1:39" x14ac:dyDescent="0.2">
      <c r="A546" s="2" t="str">
        <f>IF($G546="","",IF(ISERROR(MATCH($N546,Lge_Scratch!$B:$B,0)),1,0))</f>
        <v/>
      </c>
      <c r="B546" s="2" t="str">
        <f>IF($G546="","",IF(AND(LEFT($Q546,8)="Non-aero",ISERROR(MATCH($N546,Lge_NonAero!$B:$B,0))),1,0))</f>
        <v/>
      </c>
      <c r="C546" s="5" t="str">
        <f>IF($G546="","",IF(AND(LEFT($O546,3)="Wom",ISERROR(MATCH($N546,Lge_Women!$B:$B,0))),1,0))</f>
        <v/>
      </c>
      <c r="D546" s="2" t="str">
        <f>IF($G546="","",IF(AND(OR($O546="Vet",$O546="Woman Vet"),ISERROR(MATCH($N546,Lge_Vets!$B:$B,0))),1,0))</f>
        <v/>
      </c>
      <c r="E546" s="2" t="str">
        <f>IF($G546="","",IF(AND(OR($O546="Junior",$O546="Woman Junior",$O546="Youth",$O546="Woman Youth"),ISERROR(MATCH($N546,Lge_Junior!$B:$B,0))),1,0))</f>
        <v/>
      </c>
      <c r="F546" s="2" t="str">
        <f>IF($G546="","",IF(AND(LEFT($O546,3)="You",ISERROR(MATCH($N546,Lge_Youth!$B:$B,0))),1,0))</f>
        <v/>
      </c>
      <c r="G546" s="3"/>
      <c r="H546" s="3"/>
      <c r="I546" s="3"/>
      <c r="J546" s="3"/>
      <c r="K546" s="6"/>
      <c r="L546" s="4"/>
      <c r="M546" s="4"/>
      <c r="N546" s="8"/>
      <c r="O546" s="8"/>
      <c r="P546" s="9"/>
      <c r="Q546" s="8"/>
      <c r="R546" s="8"/>
      <c r="S546" s="9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10"/>
    </row>
    <row r="547" spans="1:39" x14ac:dyDescent="0.2">
      <c r="A547" s="2" t="str">
        <f>IF($G547="","",IF(ISERROR(MATCH($N547,Lge_Scratch!$B:$B,0)),1,0))</f>
        <v/>
      </c>
      <c r="B547" s="2" t="str">
        <f>IF($G547="","",IF(AND(LEFT($Q547,8)="Non-aero",ISERROR(MATCH($N547,Lge_NonAero!$B:$B,0))),1,0))</f>
        <v/>
      </c>
      <c r="C547" s="5" t="str">
        <f>IF($G547="","",IF(AND(LEFT($O547,3)="Wom",ISERROR(MATCH($N547,Lge_Women!$B:$B,0))),1,0))</f>
        <v/>
      </c>
      <c r="D547" s="2" t="str">
        <f>IF($G547="","",IF(AND(OR($O547="Vet",$O547="Woman Vet"),ISERROR(MATCH($N547,Lge_Vets!$B:$B,0))),1,0))</f>
        <v/>
      </c>
      <c r="E547" s="2" t="str">
        <f>IF($G547="","",IF(AND(OR($O547="Junior",$O547="Woman Junior",$O547="Youth",$O547="Woman Youth"),ISERROR(MATCH($N547,Lge_Junior!$B:$B,0))),1,0))</f>
        <v/>
      </c>
      <c r="F547" s="2" t="str">
        <f>IF($G547="","",IF(AND(LEFT($O547,3)="You",ISERROR(MATCH($N547,Lge_Youth!$B:$B,0))),1,0))</f>
        <v/>
      </c>
      <c r="G547" s="3"/>
      <c r="H547" s="3"/>
      <c r="I547" s="3"/>
      <c r="J547" s="3"/>
      <c r="K547" s="6"/>
      <c r="L547" s="4"/>
      <c r="M547" s="4"/>
      <c r="N547" s="8"/>
      <c r="O547" s="8"/>
      <c r="P547" s="9"/>
      <c r="Q547" s="8"/>
      <c r="R547" s="8"/>
      <c r="S547" s="9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10"/>
    </row>
    <row r="548" spans="1:39" x14ac:dyDescent="0.2">
      <c r="A548" s="2" t="str">
        <f>IF($G548="","",IF(ISERROR(MATCH($N548,Lge_Scratch!$B:$B,0)),1,0))</f>
        <v/>
      </c>
      <c r="B548" s="2" t="str">
        <f>IF($G548="","",IF(AND(LEFT($Q548,8)="Non-aero",ISERROR(MATCH($N548,Lge_NonAero!$B:$B,0))),1,0))</f>
        <v/>
      </c>
      <c r="C548" s="5" t="str">
        <f>IF($G548="","",IF(AND(LEFT($O548,3)="Wom",ISERROR(MATCH($N548,Lge_Women!$B:$B,0))),1,0))</f>
        <v/>
      </c>
      <c r="D548" s="2" t="str">
        <f>IF($G548="","",IF(AND(OR($O548="Vet",$O548="Woman Vet"),ISERROR(MATCH($N548,Lge_Vets!$B:$B,0))),1,0))</f>
        <v/>
      </c>
      <c r="E548" s="2" t="str">
        <f>IF($G548="","",IF(AND(OR($O548="Junior",$O548="Woman Junior",$O548="Youth",$O548="Woman Youth"),ISERROR(MATCH($N548,Lge_Junior!$B:$B,0))),1,0))</f>
        <v/>
      </c>
      <c r="F548" s="2" t="str">
        <f>IF($G548="","",IF(AND(LEFT($O548,3)="You",ISERROR(MATCH($N548,Lge_Youth!$B:$B,0))),1,0))</f>
        <v/>
      </c>
      <c r="G548" s="3"/>
      <c r="H548" s="3"/>
      <c r="I548" s="3"/>
      <c r="J548" s="3"/>
      <c r="K548" s="6"/>
      <c r="L548" s="4"/>
      <c r="M548" s="4"/>
      <c r="N548" s="8"/>
      <c r="O548" s="8"/>
      <c r="P548" s="9"/>
      <c r="Q548" s="8"/>
      <c r="R548" s="8"/>
      <c r="S548" s="9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10"/>
    </row>
    <row r="549" spans="1:39" x14ac:dyDescent="0.2">
      <c r="A549" s="2" t="str">
        <f>IF($G549="","",IF(ISERROR(MATCH($N549,Lge_Scratch!$B:$B,0)),1,0))</f>
        <v/>
      </c>
      <c r="B549" s="2" t="str">
        <f>IF($G549="","",IF(AND(LEFT($Q549,8)="Non-aero",ISERROR(MATCH($N549,Lge_NonAero!$B:$B,0))),1,0))</f>
        <v/>
      </c>
      <c r="C549" s="5" t="str">
        <f>IF($G549="","",IF(AND(LEFT($O549,3)="Wom",ISERROR(MATCH($N549,Lge_Women!$B:$B,0))),1,0))</f>
        <v/>
      </c>
      <c r="D549" s="2" t="str">
        <f>IF($G549="","",IF(AND(OR($O549="Vet",$O549="Woman Vet"),ISERROR(MATCH($N549,Lge_Vets!$B:$B,0))),1,0))</f>
        <v/>
      </c>
      <c r="E549" s="2" t="str">
        <f>IF($G549="","",IF(AND(OR($O549="Junior",$O549="Woman Junior",$O549="Youth",$O549="Woman Youth"),ISERROR(MATCH($N549,Lge_Junior!$B:$B,0))),1,0))</f>
        <v/>
      </c>
      <c r="F549" s="2" t="str">
        <f>IF($G549="","",IF(AND(LEFT($O549,3)="You",ISERROR(MATCH($N549,Lge_Youth!$B:$B,0))),1,0))</f>
        <v/>
      </c>
      <c r="G549" s="3"/>
      <c r="H549" s="3"/>
      <c r="I549" s="3"/>
      <c r="J549" s="3"/>
      <c r="K549" s="6"/>
      <c r="L549" s="4"/>
      <c r="M549" s="4"/>
      <c r="N549" s="8"/>
      <c r="O549" s="8"/>
      <c r="P549" s="9"/>
      <c r="Q549" s="8"/>
      <c r="R549" s="8"/>
      <c r="S549" s="9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10"/>
    </row>
    <row r="550" spans="1:39" x14ac:dyDescent="0.2">
      <c r="A550" s="2" t="str">
        <f>IF($G550="","",IF(ISERROR(MATCH($N550,Lge_Scratch!$B:$B,0)),1,0))</f>
        <v/>
      </c>
      <c r="B550" s="2" t="str">
        <f>IF($G550="","",IF(AND(LEFT($Q550,8)="Non-aero",ISERROR(MATCH($N550,Lge_NonAero!$B:$B,0))),1,0))</f>
        <v/>
      </c>
      <c r="C550" s="5" t="str">
        <f>IF($G550="","",IF(AND(LEFT($O550,3)="Wom",ISERROR(MATCH($N550,Lge_Women!$B:$B,0))),1,0))</f>
        <v/>
      </c>
      <c r="D550" s="2" t="str">
        <f>IF($G550="","",IF(AND(OR($O550="Vet",$O550="Woman Vet"),ISERROR(MATCH($N550,Lge_Vets!$B:$B,0))),1,0))</f>
        <v/>
      </c>
      <c r="E550" s="2" t="str">
        <f>IF($G550="","",IF(AND(OR($O550="Junior",$O550="Woman Junior",$O550="Youth",$O550="Woman Youth"),ISERROR(MATCH($N550,Lge_Junior!$B:$B,0))),1,0))</f>
        <v/>
      </c>
      <c r="F550" s="2" t="str">
        <f>IF($G550="","",IF(AND(LEFT($O550,3)="You",ISERROR(MATCH($N550,Lge_Youth!$B:$B,0))),1,0))</f>
        <v/>
      </c>
      <c r="G550" s="3"/>
      <c r="H550" s="3"/>
      <c r="I550" s="3"/>
      <c r="J550" s="3"/>
      <c r="K550" s="6"/>
      <c r="L550" s="4"/>
      <c r="M550" s="4"/>
      <c r="N550" s="8"/>
      <c r="O550" s="8"/>
      <c r="P550" s="9"/>
      <c r="Q550" s="8"/>
      <c r="R550" s="8"/>
      <c r="S550" s="9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10"/>
    </row>
    <row r="551" spans="1:39" x14ac:dyDescent="0.2">
      <c r="A551" s="2" t="str">
        <f>IF($G551="","",IF(ISERROR(MATCH($N551,Lge_Scratch!$B:$B,0)),1,0))</f>
        <v/>
      </c>
      <c r="B551" s="2" t="str">
        <f>IF($G551="","",IF(AND(LEFT($Q551,8)="Non-aero",ISERROR(MATCH($N551,Lge_NonAero!$B:$B,0))),1,0))</f>
        <v/>
      </c>
      <c r="C551" s="5" t="str">
        <f>IF($G551="","",IF(AND(LEFT($O551,3)="Wom",ISERROR(MATCH($N551,Lge_Women!$B:$B,0))),1,0))</f>
        <v/>
      </c>
      <c r="D551" s="2" t="str">
        <f>IF($G551="","",IF(AND(OR($O551="Vet",$O551="Woman Vet"),ISERROR(MATCH($N551,Lge_Vets!$B:$B,0))),1,0))</f>
        <v/>
      </c>
      <c r="E551" s="2" t="str">
        <f>IF($G551="","",IF(AND(OR($O551="Junior",$O551="Woman Junior",$O551="Youth",$O551="Woman Youth"),ISERROR(MATCH($N551,Lge_Junior!$B:$B,0))),1,0))</f>
        <v/>
      </c>
      <c r="F551" s="2" t="str">
        <f>IF($G551="","",IF(AND(LEFT($O551,3)="You",ISERROR(MATCH($N551,Lge_Youth!$B:$B,0))),1,0))</f>
        <v/>
      </c>
      <c r="G551" s="3"/>
      <c r="H551" s="3"/>
      <c r="I551" s="3"/>
      <c r="J551" s="3"/>
      <c r="K551" s="6"/>
      <c r="L551" s="4"/>
      <c r="M551" s="4"/>
      <c r="N551" s="8"/>
      <c r="O551" s="8"/>
      <c r="P551" s="9"/>
      <c r="Q551" s="8"/>
      <c r="R551" s="8"/>
      <c r="S551" s="9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10"/>
    </row>
    <row r="552" spans="1:39" x14ac:dyDescent="0.2">
      <c r="A552" s="2" t="str">
        <f>IF($G552="","",IF(ISERROR(MATCH($N552,Lge_Scratch!$B:$B,0)),1,0))</f>
        <v/>
      </c>
      <c r="B552" s="2" t="str">
        <f>IF($G552="","",IF(AND(LEFT($Q552,8)="Non-aero",ISERROR(MATCH($N552,Lge_NonAero!$B:$B,0))),1,0))</f>
        <v/>
      </c>
      <c r="C552" s="5" t="str">
        <f>IF($G552="","",IF(AND(LEFT($O552,3)="Wom",ISERROR(MATCH($N552,Lge_Women!$B:$B,0))),1,0))</f>
        <v/>
      </c>
      <c r="D552" s="2" t="str">
        <f>IF($G552="","",IF(AND(OR($O552="Vet",$O552="Woman Vet"),ISERROR(MATCH($N552,Lge_Vets!$B:$B,0))),1,0))</f>
        <v/>
      </c>
      <c r="E552" s="2" t="str">
        <f>IF($G552="","",IF(AND(OR($O552="Junior",$O552="Woman Junior",$O552="Youth",$O552="Woman Youth"),ISERROR(MATCH($N552,Lge_Junior!$B:$B,0))),1,0))</f>
        <v/>
      </c>
      <c r="F552" s="2" t="str">
        <f>IF($G552="","",IF(AND(LEFT($O552,3)="You",ISERROR(MATCH($N552,Lge_Youth!$B:$B,0))),1,0))</f>
        <v/>
      </c>
      <c r="G552" s="3"/>
      <c r="H552" s="3"/>
      <c r="I552" s="3"/>
      <c r="J552" s="3"/>
      <c r="K552" s="6"/>
      <c r="L552" s="4"/>
      <c r="M552" s="4"/>
      <c r="N552" s="8"/>
      <c r="O552" s="8"/>
      <c r="P552" s="9"/>
      <c r="Q552" s="8"/>
      <c r="R552" s="8"/>
      <c r="S552" s="9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10"/>
    </row>
    <row r="553" spans="1:39" x14ac:dyDescent="0.2">
      <c r="A553" s="2" t="str">
        <f>IF($G553="","",IF(ISERROR(MATCH($N553,Lge_Scratch!$B:$B,0)),1,0))</f>
        <v/>
      </c>
      <c r="B553" s="2" t="str">
        <f>IF($G553="","",IF(AND(LEFT($Q553,8)="Non-aero",ISERROR(MATCH($N553,Lge_NonAero!$B:$B,0))),1,0))</f>
        <v/>
      </c>
      <c r="C553" s="5" t="str">
        <f>IF($G553="","",IF(AND(LEFT($O553,3)="Wom",ISERROR(MATCH($N553,Lge_Women!$B:$B,0))),1,0))</f>
        <v/>
      </c>
      <c r="D553" s="2" t="str">
        <f>IF($G553="","",IF(AND(OR($O553="Vet",$O553="Woman Vet"),ISERROR(MATCH($N553,Lge_Vets!$B:$B,0))),1,0))</f>
        <v/>
      </c>
      <c r="E553" s="2" t="str">
        <f>IF($G553="","",IF(AND(OR($O553="Junior",$O553="Woman Junior",$O553="Youth",$O553="Woman Youth"),ISERROR(MATCH($N553,Lge_Junior!$B:$B,0))),1,0))</f>
        <v/>
      </c>
      <c r="F553" s="2" t="str">
        <f>IF($G553="","",IF(AND(LEFT($O553,3)="You",ISERROR(MATCH($N553,Lge_Youth!$B:$B,0))),1,0))</f>
        <v/>
      </c>
      <c r="G553" s="3"/>
      <c r="H553" s="3"/>
      <c r="I553" s="3"/>
      <c r="J553" s="3"/>
      <c r="K553" s="6"/>
      <c r="L553" s="4"/>
      <c r="M553" s="4"/>
      <c r="N553" s="8"/>
      <c r="O553" s="8"/>
      <c r="P553" s="9"/>
      <c r="Q553" s="8"/>
      <c r="R553" s="8"/>
      <c r="S553" s="9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10"/>
    </row>
    <row r="554" spans="1:39" x14ac:dyDescent="0.2">
      <c r="A554" s="2" t="str">
        <f>IF($G554="","",IF(ISERROR(MATCH($N554,Lge_Scratch!$B:$B,0)),1,0))</f>
        <v/>
      </c>
      <c r="B554" s="2" t="str">
        <f>IF($G554="","",IF(AND(LEFT($Q554,8)="Non-aero",ISERROR(MATCH($N554,Lge_NonAero!$B:$B,0))),1,0))</f>
        <v/>
      </c>
      <c r="C554" s="5" t="str">
        <f>IF($G554="","",IF(AND(LEFT($O554,3)="Wom",ISERROR(MATCH($N554,Lge_Women!$B:$B,0))),1,0))</f>
        <v/>
      </c>
      <c r="D554" s="2" t="str">
        <f>IF($G554="","",IF(AND(OR($O554="Vet",$O554="Woman Vet"),ISERROR(MATCH($N554,Lge_Vets!$B:$B,0))),1,0))</f>
        <v/>
      </c>
      <c r="E554" s="2" t="str">
        <f>IF($G554="","",IF(AND(OR($O554="Junior",$O554="Woman Junior",$O554="Youth",$O554="Woman Youth"),ISERROR(MATCH($N554,Lge_Junior!$B:$B,0))),1,0))</f>
        <v/>
      </c>
      <c r="F554" s="2" t="str">
        <f>IF($G554="","",IF(AND(LEFT($O554,3)="You",ISERROR(MATCH($N554,Lge_Youth!$B:$B,0))),1,0))</f>
        <v/>
      </c>
      <c r="G554" s="3"/>
      <c r="H554" s="3"/>
      <c r="I554" s="3"/>
      <c r="J554" s="3"/>
      <c r="K554" s="6"/>
      <c r="L554" s="4"/>
      <c r="M554" s="4"/>
      <c r="N554" s="8"/>
      <c r="O554" s="8"/>
      <c r="P554" s="9"/>
      <c r="Q554" s="8"/>
      <c r="R554" s="8"/>
      <c r="S554" s="9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10"/>
    </row>
    <row r="555" spans="1:39" x14ac:dyDescent="0.2">
      <c r="A555" s="2" t="str">
        <f>IF($G555="","",IF(ISERROR(MATCH($N555,Lge_Scratch!$B:$B,0)),1,0))</f>
        <v/>
      </c>
      <c r="B555" s="2" t="str">
        <f>IF($G555="","",IF(AND(LEFT($Q555,8)="Non-aero",ISERROR(MATCH($N555,Lge_NonAero!$B:$B,0))),1,0))</f>
        <v/>
      </c>
      <c r="C555" s="5" t="str">
        <f>IF($G555="","",IF(AND(LEFT($O555,3)="Wom",ISERROR(MATCH($N555,Lge_Women!$B:$B,0))),1,0))</f>
        <v/>
      </c>
      <c r="D555" s="2" t="str">
        <f>IF($G555="","",IF(AND(OR($O555="Vet",$O555="Woman Vet"),ISERROR(MATCH($N555,Lge_Vets!$B:$B,0))),1,0))</f>
        <v/>
      </c>
      <c r="E555" s="2" t="str">
        <f>IF($G555="","",IF(AND(OR($O555="Junior",$O555="Woman Junior",$O555="Youth",$O555="Woman Youth"),ISERROR(MATCH($N555,Lge_Junior!$B:$B,0))),1,0))</f>
        <v/>
      </c>
      <c r="F555" s="2" t="str">
        <f>IF($G555="","",IF(AND(LEFT($O555,3)="You",ISERROR(MATCH($N555,Lge_Youth!$B:$B,0))),1,0))</f>
        <v/>
      </c>
      <c r="G555" s="3"/>
      <c r="H555" s="3"/>
      <c r="I555" s="3"/>
      <c r="J555" s="3"/>
      <c r="K555" s="6"/>
      <c r="L555" s="4"/>
      <c r="M555" s="4"/>
      <c r="N555" s="8"/>
      <c r="O555" s="8"/>
      <c r="P555" s="9"/>
      <c r="Q555" s="8"/>
      <c r="R555" s="8"/>
      <c r="S555" s="9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10"/>
    </row>
    <row r="556" spans="1:39" x14ac:dyDescent="0.2">
      <c r="A556" s="2" t="str">
        <f>IF($G556="","",IF(ISERROR(MATCH($N556,Lge_Scratch!$B:$B,0)),1,0))</f>
        <v/>
      </c>
      <c r="B556" s="2" t="str">
        <f>IF($G556="","",IF(AND(LEFT($Q556,8)="Non-aero",ISERROR(MATCH($N556,Lge_NonAero!$B:$B,0))),1,0))</f>
        <v/>
      </c>
      <c r="C556" s="5" t="str">
        <f>IF($G556="","",IF(AND(LEFT($O556,3)="Wom",ISERROR(MATCH($N556,Lge_Women!$B:$B,0))),1,0))</f>
        <v/>
      </c>
      <c r="D556" s="2" t="str">
        <f>IF($G556="","",IF(AND(OR($O556="Vet",$O556="Woman Vet"),ISERROR(MATCH($N556,Lge_Vets!$B:$B,0))),1,0))</f>
        <v/>
      </c>
      <c r="E556" s="2" t="str">
        <f>IF($G556="","",IF(AND(OR($O556="Junior",$O556="Woman Junior",$O556="Youth",$O556="Woman Youth"),ISERROR(MATCH($N556,Lge_Junior!$B:$B,0))),1,0))</f>
        <v/>
      </c>
      <c r="F556" s="2" t="str">
        <f>IF($G556="","",IF(AND(LEFT($O556,3)="You",ISERROR(MATCH($N556,Lge_Youth!$B:$B,0))),1,0))</f>
        <v/>
      </c>
      <c r="G556" s="3"/>
      <c r="H556" s="3"/>
      <c r="I556" s="3"/>
      <c r="J556" s="3"/>
      <c r="K556" s="6"/>
      <c r="L556" s="4"/>
      <c r="M556" s="4"/>
      <c r="N556" s="8"/>
      <c r="O556" s="8"/>
      <c r="P556" s="9"/>
      <c r="Q556" s="8"/>
      <c r="R556" s="8"/>
      <c r="S556" s="9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10"/>
    </row>
    <row r="557" spans="1:39" x14ac:dyDescent="0.2">
      <c r="A557" s="2" t="str">
        <f>IF($G557="","",IF(ISERROR(MATCH($N557,Lge_Scratch!$B:$B,0)),1,0))</f>
        <v/>
      </c>
      <c r="B557" s="2" t="str">
        <f>IF($G557="","",IF(AND(LEFT($Q557,8)="Non-aero",ISERROR(MATCH($N557,Lge_NonAero!$B:$B,0))),1,0))</f>
        <v/>
      </c>
      <c r="C557" s="5" t="str">
        <f>IF($G557="","",IF(AND(LEFT($O557,3)="Wom",ISERROR(MATCH($N557,Lge_Women!$B:$B,0))),1,0))</f>
        <v/>
      </c>
      <c r="D557" s="2" t="str">
        <f>IF($G557="","",IF(AND(OR($O557="Vet",$O557="Woman Vet"),ISERROR(MATCH($N557,Lge_Vets!$B:$B,0))),1,0))</f>
        <v/>
      </c>
      <c r="E557" s="2" t="str">
        <f>IF($G557="","",IF(AND(OR($O557="Junior",$O557="Woman Junior",$O557="Youth",$O557="Woman Youth"),ISERROR(MATCH($N557,Lge_Junior!$B:$B,0))),1,0))</f>
        <v/>
      </c>
      <c r="F557" s="2" t="str">
        <f>IF($G557="","",IF(AND(LEFT($O557,3)="You",ISERROR(MATCH($N557,Lge_Youth!$B:$B,0))),1,0))</f>
        <v/>
      </c>
      <c r="G557" s="3"/>
      <c r="H557" s="3"/>
      <c r="I557" s="3"/>
      <c r="J557" s="3"/>
      <c r="K557" s="6"/>
      <c r="L557" s="4"/>
      <c r="M557" s="4"/>
      <c r="N557" s="8"/>
      <c r="O557" s="8"/>
      <c r="P557" s="9"/>
      <c r="Q557" s="8"/>
      <c r="R557" s="8"/>
      <c r="S557" s="9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10"/>
    </row>
    <row r="558" spans="1:39" x14ac:dyDescent="0.2">
      <c r="A558" s="2" t="str">
        <f>IF($G558="","",IF(ISERROR(MATCH($N558,Lge_Scratch!$B:$B,0)),1,0))</f>
        <v/>
      </c>
      <c r="B558" s="2" t="str">
        <f>IF($G558="","",IF(AND(LEFT($Q558,8)="Non-aero",ISERROR(MATCH($N558,Lge_NonAero!$B:$B,0))),1,0))</f>
        <v/>
      </c>
      <c r="C558" s="5" t="str">
        <f>IF($G558="","",IF(AND(LEFT($O558,3)="Wom",ISERROR(MATCH($N558,Lge_Women!$B:$B,0))),1,0))</f>
        <v/>
      </c>
      <c r="D558" s="2" t="str">
        <f>IF($G558="","",IF(AND(OR($O558="Vet",$O558="Woman Vet"),ISERROR(MATCH($N558,Lge_Vets!$B:$B,0))),1,0))</f>
        <v/>
      </c>
      <c r="E558" s="2" t="str">
        <f>IF($G558="","",IF(AND(OR($O558="Junior",$O558="Woman Junior",$O558="Youth",$O558="Woman Youth"),ISERROR(MATCH($N558,Lge_Junior!$B:$B,0))),1,0))</f>
        <v/>
      </c>
      <c r="F558" s="2" t="str">
        <f>IF($G558="","",IF(AND(LEFT($O558,3)="You",ISERROR(MATCH($N558,Lge_Youth!$B:$B,0))),1,0))</f>
        <v/>
      </c>
      <c r="G558" s="3"/>
      <c r="H558" s="3"/>
      <c r="I558" s="3"/>
      <c r="J558" s="3"/>
      <c r="K558" s="6"/>
      <c r="L558" s="4"/>
      <c r="M558" s="4"/>
      <c r="N558" s="8"/>
      <c r="O558" s="8"/>
      <c r="P558" s="9"/>
      <c r="Q558" s="8"/>
      <c r="R558" s="8"/>
      <c r="S558" s="9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10"/>
    </row>
    <row r="559" spans="1:39" x14ac:dyDescent="0.2">
      <c r="A559" s="2" t="str">
        <f>IF($G559="","",IF(ISERROR(MATCH($N559,Lge_Scratch!$B:$B,0)),1,0))</f>
        <v/>
      </c>
      <c r="B559" s="2" t="str">
        <f>IF($G559="","",IF(AND(LEFT($Q559,8)="Non-aero",ISERROR(MATCH($N559,Lge_NonAero!$B:$B,0))),1,0))</f>
        <v/>
      </c>
      <c r="C559" s="5" t="str">
        <f>IF($G559="","",IF(AND(LEFT($O559,3)="Wom",ISERROR(MATCH($N559,Lge_Women!$B:$B,0))),1,0))</f>
        <v/>
      </c>
      <c r="D559" s="2" t="str">
        <f>IF($G559="","",IF(AND(OR($O559="Vet",$O559="Woman Vet"),ISERROR(MATCH($N559,Lge_Vets!$B:$B,0))),1,0))</f>
        <v/>
      </c>
      <c r="E559" s="2" t="str">
        <f>IF($G559="","",IF(AND(OR($O559="Junior",$O559="Woman Junior",$O559="Youth",$O559="Woman Youth"),ISERROR(MATCH($N559,Lge_Junior!$B:$B,0))),1,0))</f>
        <v/>
      </c>
      <c r="F559" s="2" t="str">
        <f>IF($G559="","",IF(AND(LEFT($O559,3)="You",ISERROR(MATCH($N559,Lge_Youth!$B:$B,0))),1,0))</f>
        <v/>
      </c>
      <c r="G559" s="3"/>
      <c r="H559" s="3"/>
      <c r="I559" s="3"/>
      <c r="J559" s="3"/>
      <c r="K559" s="6"/>
      <c r="L559" s="4"/>
      <c r="M559" s="4"/>
      <c r="N559" s="8"/>
      <c r="O559" s="8"/>
      <c r="P559" s="9"/>
      <c r="Q559" s="8"/>
      <c r="R559" s="8"/>
      <c r="S559" s="9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10"/>
    </row>
    <row r="560" spans="1:39" x14ac:dyDescent="0.2">
      <c r="A560" s="2" t="str">
        <f>IF($G560="","",IF(ISERROR(MATCH($N560,Lge_Scratch!$B:$B,0)),1,0))</f>
        <v/>
      </c>
      <c r="B560" s="2" t="str">
        <f>IF($G560="","",IF(AND(LEFT($Q560,8)="Non-aero",ISERROR(MATCH($N560,Lge_NonAero!$B:$B,0))),1,0))</f>
        <v/>
      </c>
      <c r="C560" s="5" t="str">
        <f>IF($G560="","",IF(AND(LEFT($O560,3)="Wom",ISERROR(MATCH($N560,Lge_Women!$B:$B,0))),1,0))</f>
        <v/>
      </c>
      <c r="D560" s="2" t="str">
        <f>IF($G560="","",IF(AND(OR($O560="Vet",$O560="Woman Vet"),ISERROR(MATCH($N560,Lge_Vets!$B:$B,0))),1,0))</f>
        <v/>
      </c>
      <c r="E560" s="2" t="str">
        <f>IF($G560="","",IF(AND(OR($O560="Junior",$O560="Woman Junior",$O560="Youth",$O560="Woman Youth"),ISERROR(MATCH($N560,Lge_Junior!$B:$B,0))),1,0))</f>
        <v/>
      </c>
      <c r="F560" s="2" t="str">
        <f>IF($G560="","",IF(AND(LEFT($O560,3)="You",ISERROR(MATCH($N560,Lge_Youth!$B:$B,0))),1,0))</f>
        <v/>
      </c>
      <c r="G560" s="3"/>
      <c r="H560" s="3"/>
      <c r="I560" s="3"/>
      <c r="J560" s="3"/>
      <c r="K560" s="6"/>
      <c r="L560" s="4"/>
      <c r="M560" s="4"/>
      <c r="N560" s="8"/>
      <c r="O560" s="8"/>
      <c r="P560" s="9"/>
      <c r="Q560" s="8"/>
      <c r="R560" s="8"/>
      <c r="S560" s="9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10"/>
    </row>
    <row r="561" spans="1:39" x14ac:dyDescent="0.2">
      <c r="A561" s="2" t="str">
        <f>IF($G561="","",IF(ISERROR(MATCH($N561,Lge_Scratch!$B:$B,0)),1,0))</f>
        <v/>
      </c>
      <c r="B561" s="2" t="str">
        <f>IF($G561="","",IF(AND(LEFT($Q561,8)="Non-aero",ISERROR(MATCH($N561,Lge_NonAero!$B:$B,0))),1,0))</f>
        <v/>
      </c>
      <c r="C561" s="5" t="str">
        <f>IF($G561="","",IF(AND(LEFT($O561,3)="Wom",ISERROR(MATCH($N561,Lge_Women!$B:$B,0))),1,0))</f>
        <v/>
      </c>
      <c r="D561" s="2" t="str">
        <f>IF($G561="","",IF(AND(OR($O561="Vet",$O561="Woman Vet"),ISERROR(MATCH($N561,Lge_Vets!$B:$B,0))),1,0))</f>
        <v/>
      </c>
      <c r="E561" s="2" t="str">
        <f>IF($G561="","",IF(AND(OR($O561="Junior",$O561="Woman Junior",$O561="Youth",$O561="Woman Youth"),ISERROR(MATCH($N561,Lge_Junior!$B:$B,0))),1,0))</f>
        <v/>
      </c>
      <c r="F561" s="2" t="str">
        <f>IF($G561="","",IF(AND(LEFT($O561,3)="You",ISERROR(MATCH($N561,Lge_Youth!$B:$B,0))),1,0))</f>
        <v/>
      </c>
      <c r="G561" s="3"/>
      <c r="H561" s="3"/>
      <c r="I561" s="3"/>
      <c r="J561" s="3"/>
      <c r="K561" s="6"/>
      <c r="L561" s="4"/>
      <c r="M561" s="4"/>
      <c r="N561" s="8"/>
      <c r="O561" s="8"/>
      <c r="P561" s="9"/>
      <c r="Q561" s="8"/>
      <c r="R561" s="8"/>
      <c r="S561" s="9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10"/>
    </row>
    <row r="562" spans="1:39" x14ac:dyDescent="0.2">
      <c r="A562" s="2" t="str">
        <f>IF($G562="","",IF(ISERROR(MATCH($N562,Lge_Scratch!$B:$B,0)),1,0))</f>
        <v/>
      </c>
      <c r="B562" s="2" t="str">
        <f>IF($G562="","",IF(AND(LEFT($Q562,8)="Non-aero",ISERROR(MATCH($N562,Lge_NonAero!$B:$B,0))),1,0))</f>
        <v/>
      </c>
      <c r="C562" s="5" t="str">
        <f>IF($G562="","",IF(AND(LEFT($O562,3)="Wom",ISERROR(MATCH($N562,Lge_Women!$B:$B,0))),1,0))</f>
        <v/>
      </c>
      <c r="D562" s="2" t="str">
        <f>IF($G562="","",IF(AND(OR($O562="Vet",$O562="Woman Vet"),ISERROR(MATCH($N562,Lge_Vets!$B:$B,0))),1,0))</f>
        <v/>
      </c>
      <c r="E562" s="2" t="str">
        <f>IF($G562="","",IF(AND(OR($O562="Junior",$O562="Woman Junior",$O562="Youth",$O562="Woman Youth"),ISERROR(MATCH($N562,Lge_Junior!$B:$B,0))),1,0))</f>
        <v/>
      </c>
      <c r="F562" s="2" t="str">
        <f>IF($G562="","",IF(AND(LEFT($O562,3)="You",ISERROR(MATCH($N562,Lge_Youth!$B:$B,0))),1,0))</f>
        <v/>
      </c>
      <c r="G562" s="3"/>
      <c r="H562" s="3"/>
      <c r="I562" s="3"/>
      <c r="J562" s="3"/>
      <c r="K562" s="6"/>
      <c r="L562" s="4"/>
      <c r="M562" s="4"/>
      <c r="N562" s="8"/>
      <c r="O562" s="8"/>
      <c r="P562" s="9"/>
      <c r="Q562" s="8"/>
      <c r="R562" s="8"/>
      <c r="S562" s="9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10"/>
    </row>
    <row r="563" spans="1:39" x14ac:dyDescent="0.2">
      <c r="A563" s="2" t="str">
        <f>IF($G563="","",IF(ISERROR(MATCH($N563,Lge_Scratch!$B:$B,0)),1,0))</f>
        <v/>
      </c>
      <c r="B563" s="2" t="str">
        <f>IF($G563="","",IF(AND(LEFT($Q563,8)="Non-aero",ISERROR(MATCH($N563,Lge_NonAero!$B:$B,0))),1,0))</f>
        <v/>
      </c>
      <c r="C563" s="5" t="str">
        <f>IF($G563="","",IF(AND(LEFT($O563,3)="Wom",ISERROR(MATCH($N563,Lge_Women!$B:$B,0))),1,0))</f>
        <v/>
      </c>
      <c r="D563" s="2" t="str">
        <f>IF($G563="","",IF(AND(OR($O563="Vet",$O563="Woman Vet"),ISERROR(MATCH($N563,Lge_Vets!$B:$B,0))),1,0))</f>
        <v/>
      </c>
      <c r="E563" s="2" t="str">
        <f>IF($G563="","",IF(AND(OR($O563="Junior",$O563="Woman Junior",$O563="Youth",$O563="Woman Youth"),ISERROR(MATCH($N563,Lge_Junior!$B:$B,0))),1,0))</f>
        <v/>
      </c>
      <c r="F563" s="2" t="str">
        <f>IF($G563="","",IF(AND(LEFT($O563,3)="You",ISERROR(MATCH($N563,Lge_Youth!$B:$B,0))),1,0))</f>
        <v/>
      </c>
      <c r="G563" s="3"/>
      <c r="H563" s="3"/>
      <c r="I563" s="3"/>
      <c r="J563" s="3"/>
      <c r="K563" s="6"/>
      <c r="L563" s="4"/>
      <c r="M563" s="4"/>
      <c r="N563" s="8"/>
      <c r="O563" s="8"/>
      <c r="P563" s="9"/>
      <c r="Q563" s="8"/>
      <c r="R563" s="8"/>
      <c r="S563" s="9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10"/>
    </row>
    <row r="564" spans="1:39" x14ac:dyDescent="0.2">
      <c r="A564" s="2" t="str">
        <f>IF($G564="","",IF(ISERROR(MATCH($N564,Lge_Scratch!$B:$B,0)),1,0))</f>
        <v/>
      </c>
      <c r="B564" s="2" t="str">
        <f>IF($G564="","",IF(AND(LEFT($Q564,8)="Non-aero",ISERROR(MATCH($N564,Lge_NonAero!$B:$B,0))),1,0))</f>
        <v/>
      </c>
      <c r="C564" s="5" t="str">
        <f>IF($G564="","",IF(AND(LEFT($O564,3)="Wom",ISERROR(MATCH($N564,Lge_Women!$B:$B,0))),1,0))</f>
        <v/>
      </c>
      <c r="D564" s="2" t="str">
        <f>IF($G564="","",IF(AND(OR($O564="Vet",$O564="Woman Vet"),ISERROR(MATCH($N564,Lge_Vets!$B:$B,0))),1,0))</f>
        <v/>
      </c>
      <c r="E564" s="2" t="str">
        <f>IF($G564="","",IF(AND(OR($O564="Junior",$O564="Woman Junior",$O564="Youth",$O564="Woman Youth"),ISERROR(MATCH($N564,Lge_Junior!$B:$B,0))),1,0))</f>
        <v/>
      </c>
      <c r="F564" s="2" t="str">
        <f>IF($G564="","",IF(AND(LEFT($O564,3)="You",ISERROR(MATCH($N564,Lge_Youth!$B:$B,0))),1,0))</f>
        <v/>
      </c>
      <c r="G564" s="3"/>
      <c r="H564" s="3"/>
      <c r="I564" s="3"/>
      <c r="J564" s="3"/>
      <c r="K564" s="6"/>
      <c r="L564" s="4"/>
      <c r="M564" s="4"/>
      <c r="N564" s="8"/>
      <c r="O564" s="8"/>
      <c r="P564" s="9"/>
      <c r="Q564" s="8"/>
      <c r="R564" s="8"/>
      <c r="S564" s="9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10"/>
    </row>
    <row r="565" spans="1:39" x14ac:dyDescent="0.2">
      <c r="A565" s="2" t="str">
        <f>IF($G565="","",IF(ISERROR(MATCH($N565,Lge_Scratch!$B:$B,0)),1,0))</f>
        <v/>
      </c>
      <c r="B565" s="2" t="str">
        <f>IF($G565="","",IF(AND(LEFT($Q565,8)="Non-aero",ISERROR(MATCH($N565,Lge_NonAero!$B:$B,0))),1,0))</f>
        <v/>
      </c>
      <c r="C565" s="5" t="str">
        <f>IF($G565="","",IF(AND(LEFT($O565,3)="Wom",ISERROR(MATCH($N565,Lge_Women!$B:$B,0))),1,0))</f>
        <v/>
      </c>
      <c r="D565" s="2" t="str">
        <f>IF($G565="","",IF(AND(OR($O565="Vet",$O565="Woman Vet"),ISERROR(MATCH($N565,Lge_Vets!$B:$B,0))),1,0))</f>
        <v/>
      </c>
      <c r="E565" s="2" t="str">
        <f>IF($G565="","",IF(AND(OR($O565="Junior",$O565="Woman Junior",$O565="Youth",$O565="Woman Youth"),ISERROR(MATCH($N565,Lge_Junior!$B:$B,0))),1,0))</f>
        <v/>
      </c>
      <c r="F565" s="2" t="str">
        <f>IF($G565="","",IF(AND(LEFT($O565,3)="You",ISERROR(MATCH($N565,Lge_Youth!$B:$B,0))),1,0))</f>
        <v/>
      </c>
      <c r="G565" s="3"/>
      <c r="H565" s="3"/>
      <c r="I565" s="3"/>
      <c r="J565" s="3"/>
      <c r="K565" s="6"/>
      <c r="L565" s="4"/>
      <c r="M565" s="4"/>
      <c r="N565" s="8"/>
      <c r="O565" s="8"/>
      <c r="P565" s="9"/>
      <c r="Q565" s="8"/>
      <c r="R565" s="8"/>
      <c r="S565" s="9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10"/>
    </row>
    <row r="566" spans="1:39" x14ac:dyDescent="0.2">
      <c r="A566" s="2" t="str">
        <f>IF($G566="","",IF(ISERROR(MATCH($N566,Lge_Scratch!$B:$B,0)),1,0))</f>
        <v/>
      </c>
      <c r="B566" s="2" t="str">
        <f>IF($G566="","",IF(AND(LEFT($Q566,8)="Non-aero",ISERROR(MATCH($N566,Lge_NonAero!$B:$B,0))),1,0))</f>
        <v/>
      </c>
      <c r="C566" s="5" t="str">
        <f>IF($G566="","",IF(AND(LEFT($O566,3)="Wom",ISERROR(MATCH($N566,Lge_Women!$B:$B,0))),1,0))</f>
        <v/>
      </c>
      <c r="D566" s="2" t="str">
        <f>IF($G566="","",IF(AND(OR($O566="Vet",$O566="Woman Vet"),ISERROR(MATCH($N566,Lge_Vets!$B:$B,0))),1,0))</f>
        <v/>
      </c>
      <c r="E566" s="2" t="str">
        <f>IF($G566="","",IF(AND(OR($O566="Junior",$O566="Woman Junior",$O566="Youth",$O566="Woman Youth"),ISERROR(MATCH($N566,Lge_Junior!$B:$B,0))),1,0))</f>
        <v/>
      </c>
      <c r="F566" s="2" t="str">
        <f>IF($G566="","",IF(AND(LEFT($O566,3)="You",ISERROR(MATCH($N566,Lge_Youth!$B:$B,0))),1,0))</f>
        <v/>
      </c>
      <c r="G566" s="3"/>
      <c r="H566" s="3"/>
      <c r="I566" s="3"/>
      <c r="J566" s="3"/>
      <c r="K566" s="6"/>
      <c r="L566" s="4"/>
      <c r="M566" s="4"/>
      <c r="N566" s="8"/>
      <c r="O566" s="8"/>
      <c r="P566" s="9"/>
      <c r="Q566" s="8"/>
      <c r="R566" s="8"/>
      <c r="S566" s="9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10"/>
    </row>
    <row r="567" spans="1:39" x14ac:dyDescent="0.2">
      <c r="A567" s="2" t="str">
        <f>IF($G567="","",IF(ISERROR(MATCH($N567,Lge_Scratch!$B:$B,0)),1,0))</f>
        <v/>
      </c>
      <c r="B567" s="2" t="str">
        <f>IF($G567="","",IF(AND(LEFT($Q567,8)="Non-aero",ISERROR(MATCH($N567,Lge_NonAero!$B:$B,0))),1,0))</f>
        <v/>
      </c>
      <c r="C567" s="5" t="str">
        <f>IF($G567="","",IF(AND(LEFT($O567,3)="Wom",ISERROR(MATCH($N567,Lge_Women!$B:$B,0))),1,0))</f>
        <v/>
      </c>
      <c r="D567" s="2" t="str">
        <f>IF($G567="","",IF(AND(OR($O567="Vet",$O567="Woman Vet"),ISERROR(MATCH($N567,Lge_Vets!$B:$B,0))),1,0))</f>
        <v/>
      </c>
      <c r="E567" s="2" t="str">
        <f>IF($G567="","",IF(AND(OR($O567="Junior",$O567="Woman Junior",$O567="Youth",$O567="Woman Youth"),ISERROR(MATCH($N567,Lge_Junior!$B:$B,0))),1,0))</f>
        <v/>
      </c>
      <c r="F567" s="2" t="str">
        <f>IF($G567="","",IF(AND(LEFT($O567,3)="You",ISERROR(MATCH($N567,Lge_Youth!$B:$B,0))),1,0))</f>
        <v/>
      </c>
      <c r="G567" s="3"/>
      <c r="H567" s="3"/>
      <c r="I567" s="3"/>
      <c r="J567" s="3"/>
      <c r="K567" s="6"/>
      <c r="L567" s="4"/>
      <c r="M567" s="4"/>
      <c r="N567" s="8"/>
      <c r="O567" s="8"/>
      <c r="P567" s="9"/>
      <c r="Q567" s="8"/>
      <c r="R567" s="8"/>
      <c r="S567" s="9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10"/>
    </row>
    <row r="568" spans="1:39" x14ac:dyDescent="0.2">
      <c r="A568" s="2" t="str">
        <f>IF($G568="","",IF(ISERROR(MATCH($N568,Lge_Scratch!$B:$B,0)),1,0))</f>
        <v/>
      </c>
      <c r="B568" s="2" t="str">
        <f>IF($G568="","",IF(AND(LEFT($Q568,8)="Non-aero",ISERROR(MATCH($N568,Lge_NonAero!$B:$B,0))),1,0))</f>
        <v/>
      </c>
      <c r="C568" s="5" t="str">
        <f>IF($G568="","",IF(AND(LEFT($O568,3)="Wom",ISERROR(MATCH($N568,Lge_Women!$B:$B,0))),1,0))</f>
        <v/>
      </c>
      <c r="D568" s="2" t="str">
        <f>IF($G568="","",IF(AND(OR($O568="Vet",$O568="Woman Vet"),ISERROR(MATCH($N568,Lge_Vets!$B:$B,0))),1,0))</f>
        <v/>
      </c>
      <c r="E568" s="2" t="str">
        <f>IF($G568="","",IF(AND(OR($O568="Junior",$O568="Woman Junior",$O568="Youth",$O568="Woman Youth"),ISERROR(MATCH($N568,Lge_Junior!$B:$B,0))),1,0))</f>
        <v/>
      </c>
      <c r="F568" s="2" t="str">
        <f>IF($G568="","",IF(AND(LEFT($O568,3)="You",ISERROR(MATCH($N568,Lge_Youth!$B:$B,0))),1,0))</f>
        <v/>
      </c>
      <c r="G568" s="3"/>
      <c r="H568" s="3"/>
      <c r="I568" s="3"/>
      <c r="J568" s="3"/>
      <c r="K568" s="6"/>
      <c r="L568" s="4"/>
      <c r="M568" s="4"/>
      <c r="N568" s="8"/>
      <c r="O568" s="8"/>
      <c r="P568" s="9"/>
      <c r="Q568" s="8"/>
      <c r="R568" s="8"/>
      <c r="S568" s="9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10"/>
    </row>
    <row r="569" spans="1:39" x14ac:dyDescent="0.2">
      <c r="A569" s="2" t="str">
        <f>IF($G569="","",IF(ISERROR(MATCH($N569,Lge_Scratch!$B:$B,0)),1,0))</f>
        <v/>
      </c>
      <c r="B569" s="2" t="str">
        <f>IF($G569="","",IF(AND(LEFT($Q569,8)="Non-aero",ISERROR(MATCH($N569,Lge_NonAero!$B:$B,0))),1,0))</f>
        <v/>
      </c>
      <c r="C569" s="5" t="str">
        <f>IF($G569="","",IF(AND(LEFT($O569,3)="Wom",ISERROR(MATCH($N569,Lge_Women!$B:$B,0))),1,0))</f>
        <v/>
      </c>
      <c r="D569" s="2" t="str">
        <f>IF($G569="","",IF(AND(OR($O569="Vet",$O569="Woman Vet"),ISERROR(MATCH($N569,Lge_Vets!$B:$B,0))),1,0))</f>
        <v/>
      </c>
      <c r="E569" s="2" t="str">
        <f>IF($G569="","",IF(AND(OR($O569="Junior",$O569="Woman Junior",$O569="Youth",$O569="Woman Youth"),ISERROR(MATCH($N569,Lge_Junior!$B:$B,0))),1,0))</f>
        <v/>
      </c>
      <c r="F569" s="2" t="str">
        <f>IF($G569="","",IF(AND(LEFT($O569,3)="You",ISERROR(MATCH($N569,Lge_Youth!$B:$B,0))),1,0))</f>
        <v/>
      </c>
      <c r="G569" s="3"/>
      <c r="H569" s="3"/>
      <c r="I569" s="3"/>
      <c r="J569" s="3"/>
      <c r="K569" s="6"/>
      <c r="L569" s="4"/>
      <c r="M569" s="4"/>
      <c r="N569" s="8"/>
      <c r="O569" s="8"/>
      <c r="P569" s="9"/>
      <c r="Q569" s="8"/>
      <c r="R569" s="8"/>
      <c r="S569" s="9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10"/>
    </row>
    <row r="570" spans="1:39" x14ac:dyDescent="0.2">
      <c r="A570" s="2" t="str">
        <f>IF($G570="","",IF(ISERROR(MATCH($N570,Lge_Scratch!$B:$B,0)),1,0))</f>
        <v/>
      </c>
      <c r="B570" s="2" t="str">
        <f>IF($G570="","",IF(AND(LEFT($Q570,8)="Non-aero",ISERROR(MATCH($N570,Lge_NonAero!$B:$B,0))),1,0))</f>
        <v/>
      </c>
      <c r="C570" s="5" t="str">
        <f>IF($G570="","",IF(AND(LEFT($O570,3)="Wom",ISERROR(MATCH($N570,Lge_Women!$B:$B,0))),1,0))</f>
        <v/>
      </c>
      <c r="D570" s="2" t="str">
        <f>IF($G570="","",IF(AND(OR($O570="Vet",$O570="Woman Vet"),ISERROR(MATCH($N570,Lge_Vets!$B:$B,0))),1,0))</f>
        <v/>
      </c>
      <c r="E570" s="2" t="str">
        <f>IF($G570="","",IF(AND(OR($O570="Junior",$O570="Woman Junior",$O570="Youth",$O570="Woman Youth"),ISERROR(MATCH($N570,Lge_Junior!$B:$B,0))),1,0))</f>
        <v/>
      </c>
      <c r="F570" s="2" t="str">
        <f>IF($G570="","",IF(AND(LEFT($O570,3)="You",ISERROR(MATCH($N570,Lge_Youth!$B:$B,0))),1,0))</f>
        <v/>
      </c>
      <c r="G570" s="3"/>
      <c r="H570" s="3"/>
      <c r="I570" s="3"/>
      <c r="J570" s="3"/>
      <c r="K570" s="6"/>
      <c r="L570" s="4"/>
      <c r="M570" s="4"/>
      <c r="N570" s="8"/>
      <c r="O570" s="8"/>
      <c r="P570" s="9"/>
      <c r="Q570" s="8"/>
      <c r="R570" s="8"/>
      <c r="S570" s="9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10"/>
    </row>
    <row r="571" spans="1:39" x14ac:dyDescent="0.2">
      <c r="A571" s="2" t="str">
        <f>IF($G571="","",IF(ISERROR(MATCH($N571,Lge_Scratch!$B:$B,0)),1,0))</f>
        <v/>
      </c>
      <c r="B571" s="2" t="str">
        <f>IF($G571="","",IF(AND(LEFT($Q571,8)="Non-aero",ISERROR(MATCH($N571,Lge_NonAero!$B:$B,0))),1,0))</f>
        <v/>
      </c>
      <c r="C571" s="5" t="str">
        <f>IF($G571="","",IF(AND(LEFT($O571,3)="Wom",ISERROR(MATCH($N571,Lge_Women!$B:$B,0))),1,0))</f>
        <v/>
      </c>
      <c r="D571" s="2" t="str">
        <f>IF($G571="","",IF(AND(OR($O571="Vet",$O571="Woman Vet"),ISERROR(MATCH($N571,Lge_Vets!$B:$B,0))),1,0))</f>
        <v/>
      </c>
      <c r="E571" s="2" t="str">
        <f>IF($G571="","",IF(AND(OR($O571="Junior",$O571="Woman Junior",$O571="Youth",$O571="Woman Youth"),ISERROR(MATCH($N571,Lge_Junior!$B:$B,0))),1,0))</f>
        <v/>
      </c>
      <c r="F571" s="2" t="str">
        <f>IF($G571="","",IF(AND(LEFT($O571,3)="You",ISERROR(MATCH($N571,Lge_Youth!$B:$B,0))),1,0))</f>
        <v/>
      </c>
      <c r="G571" s="3"/>
      <c r="H571" s="3"/>
      <c r="I571" s="3"/>
      <c r="J571" s="3"/>
      <c r="K571" s="6"/>
      <c r="L571" s="4"/>
      <c r="M571" s="4"/>
      <c r="N571" s="8"/>
      <c r="O571" s="8"/>
      <c r="P571" s="9"/>
      <c r="Q571" s="8"/>
      <c r="R571" s="8"/>
      <c r="S571" s="9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10"/>
    </row>
    <row r="572" spans="1:39" x14ac:dyDescent="0.2">
      <c r="A572" s="2" t="str">
        <f>IF($G572="","",IF(ISERROR(MATCH($N572,Lge_Scratch!$B:$B,0)),1,0))</f>
        <v/>
      </c>
      <c r="B572" s="2" t="str">
        <f>IF($G572="","",IF(AND(LEFT($Q572,8)="Non-aero",ISERROR(MATCH($N572,Lge_NonAero!$B:$B,0))),1,0))</f>
        <v/>
      </c>
      <c r="C572" s="5" t="str">
        <f>IF($G572="","",IF(AND(LEFT($O572,3)="Wom",ISERROR(MATCH($N572,Lge_Women!$B:$B,0))),1,0))</f>
        <v/>
      </c>
      <c r="D572" s="2" t="str">
        <f>IF($G572="","",IF(AND(OR($O572="Vet",$O572="Woman Vet"),ISERROR(MATCH($N572,Lge_Vets!$B:$B,0))),1,0))</f>
        <v/>
      </c>
      <c r="E572" s="2" t="str">
        <f>IF($G572="","",IF(AND(OR($O572="Junior",$O572="Woman Junior",$O572="Youth",$O572="Woman Youth"),ISERROR(MATCH($N572,Lge_Junior!$B:$B,0))),1,0))</f>
        <v/>
      </c>
      <c r="F572" s="2" t="str">
        <f>IF($G572="","",IF(AND(LEFT($O572,3)="You",ISERROR(MATCH($N572,Lge_Youth!$B:$B,0))),1,0))</f>
        <v/>
      </c>
      <c r="G572" s="3"/>
      <c r="H572" s="3"/>
      <c r="I572" s="3"/>
      <c r="J572" s="3"/>
      <c r="K572" s="6"/>
      <c r="L572" s="4"/>
      <c r="M572" s="4"/>
      <c r="N572" s="8"/>
      <c r="O572" s="8"/>
      <c r="P572" s="9"/>
      <c r="Q572" s="8"/>
      <c r="R572" s="8"/>
      <c r="S572" s="9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10"/>
    </row>
    <row r="573" spans="1:39" x14ac:dyDescent="0.2">
      <c r="A573" s="2" t="str">
        <f>IF($G573="","",IF(ISERROR(MATCH($N573,Lge_Scratch!$B:$B,0)),1,0))</f>
        <v/>
      </c>
      <c r="B573" s="2" t="str">
        <f>IF($G573="","",IF(AND(LEFT($Q573,8)="Non-aero",ISERROR(MATCH($N573,Lge_NonAero!$B:$B,0))),1,0))</f>
        <v/>
      </c>
      <c r="C573" s="5" t="str">
        <f>IF($G573="","",IF(AND(LEFT($O573,3)="Wom",ISERROR(MATCH($N573,Lge_Women!$B:$B,0))),1,0))</f>
        <v/>
      </c>
      <c r="D573" s="2" t="str">
        <f>IF($G573="","",IF(AND(OR($O573="Vet",$O573="Woman Vet"),ISERROR(MATCH($N573,Lge_Vets!$B:$B,0))),1,0))</f>
        <v/>
      </c>
      <c r="E573" s="2" t="str">
        <f>IF($G573="","",IF(AND(OR($O573="Junior",$O573="Woman Junior",$O573="Youth",$O573="Woman Youth"),ISERROR(MATCH($N573,Lge_Junior!$B:$B,0))),1,0))</f>
        <v/>
      </c>
      <c r="F573" s="2" t="str">
        <f>IF($G573="","",IF(AND(LEFT($O573,3)="You",ISERROR(MATCH($N573,Lge_Youth!$B:$B,0))),1,0))</f>
        <v/>
      </c>
      <c r="G573" s="3"/>
      <c r="H573" s="3"/>
      <c r="I573" s="3"/>
      <c r="J573" s="3"/>
      <c r="K573" s="6"/>
      <c r="L573" s="4"/>
      <c r="M573" s="4"/>
      <c r="N573" s="8"/>
      <c r="O573" s="8"/>
      <c r="P573" s="9"/>
      <c r="Q573" s="8"/>
      <c r="R573" s="8"/>
      <c r="S573" s="9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10"/>
    </row>
    <row r="574" spans="1:39" x14ac:dyDescent="0.2">
      <c r="A574" s="2" t="str">
        <f>IF($G574="","",IF(ISERROR(MATCH($N574,Lge_Scratch!$B:$B,0)),1,0))</f>
        <v/>
      </c>
      <c r="B574" s="2" t="str">
        <f>IF($G574="","",IF(AND(LEFT($Q574,8)="Non-aero",ISERROR(MATCH($N574,Lge_NonAero!$B:$B,0))),1,0))</f>
        <v/>
      </c>
      <c r="C574" s="5" t="str">
        <f>IF($G574="","",IF(AND(LEFT($O574,3)="Wom",ISERROR(MATCH($N574,Lge_Women!$B:$B,0))),1,0))</f>
        <v/>
      </c>
      <c r="D574" s="2" t="str">
        <f>IF($G574="","",IF(AND(OR($O574="Vet",$O574="Woman Vet"),ISERROR(MATCH($N574,Lge_Vets!$B:$B,0))),1,0))</f>
        <v/>
      </c>
      <c r="E574" s="2" t="str">
        <f>IF($G574="","",IF(AND(OR($O574="Junior",$O574="Woman Junior",$O574="Youth",$O574="Woman Youth"),ISERROR(MATCH($N574,Lge_Junior!$B:$B,0))),1,0))</f>
        <v/>
      </c>
      <c r="F574" s="2" t="str">
        <f>IF($G574="","",IF(AND(LEFT($O574,3)="You",ISERROR(MATCH($N574,Lge_Youth!$B:$B,0))),1,0))</f>
        <v/>
      </c>
      <c r="G574" s="3"/>
      <c r="H574" s="3"/>
      <c r="I574" s="3"/>
      <c r="J574" s="3"/>
      <c r="K574" s="6"/>
      <c r="L574" s="4"/>
      <c r="M574" s="4"/>
      <c r="N574" s="8"/>
      <c r="O574" s="8"/>
      <c r="P574" s="9"/>
      <c r="Q574" s="8"/>
      <c r="R574" s="8"/>
      <c r="S574" s="9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10"/>
    </row>
    <row r="575" spans="1:39" x14ac:dyDescent="0.2">
      <c r="A575" s="2" t="str">
        <f>IF($G575="","",IF(ISERROR(MATCH($N575,Lge_Scratch!$B:$B,0)),1,0))</f>
        <v/>
      </c>
      <c r="B575" s="2" t="str">
        <f>IF($G575="","",IF(AND(LEFT($Q575,8)="Non-aero",ISERROR(MATCH($N575,Lge_NonAero!$B:$B,0))),1,0))</f>
        <v/>
      </c>
      <c r="C575" s="5" t="str">
        <f>IF($G575="","",IF(AND(LEFT($O575,3)="Wom",ISERROR(MATCH($N575,Lge_Women!$B:$B,0))),1,0))</f>
        <v/>
      </c>
      <c r="D575" s="2" t="str">
        <f>IF($G575="","",IF(AND(OR($O575="Vet",$O575="Woman Vet"),ISERROR(MATCH($N575,Lge_Vets!$B:$B,0))),1,0))</f>
        <v/>
      </c>
      <c r="E575" s="2" t="str">
        <f>IF($G575="","",IF(AND(OR($O575="Junior",$O575="Woman Junior",$O575="Youth",$O575="Woman Youth"),ISERROR(MATCH($N575,Lge_Junior!$B:$B,0))),1,0))</f>
        <v/>
      </c>
      <c r="F575" s="2" t="str">
        <f>IF($G575="","",IF(AND(LEFT($O575,3)="You",ISERROR(MATCH($N575,Lge_Youth!$B:$B,0))),1,0))</f>
        <v/>
      </c>
      <c r="G575" s="3"/>
      <c r="H575" s="3"/>
      <c r="I575" s="3"/>
      <c r="J575" s="3"/>
      <c r="K575" s="6"/>
      <c r="L575" s="4"/>
      <c r="M575" s="4"/>
      <c r="N575" s="8"/>
      <c r="O575" s="8"/>
      <c r="P575" s="9"/>
      <c r="Q575" s="8"/>
      <c r="R575" s="8"/>
      <c r="S575" s="9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10"/>
    </row>
    <row r="576" spans="1:39" x14ac:dyDescent="0.2">
      <c r="A576" s="2" t="str">
        <f>IF($G576="","",IF(ISERROR(MATCH($N576,Lge_Scratch!$B:$B,0)),1,0))</f>
        <v/>
      </c>
      <c r="B576" s="2" t="str">
        <f>IF($G576="","",IF(AND(LEFT($Q576,8)="Non-aero",ISERROR(MATCH($N576,Lge_NonAero!$B:$B,0))),1,0))</f>
        <v/>
      </c>
      <c r="C576" s="5" t="str">
        <f>IF($G576="","",IF(AND(LEFT($O576,3)="Wom",ISERROR(MATCH($N576,Lge_Women!$B:$B,0))),1,0))</f>
        <v/>
      </c>
      <c r="D576" s="2" t="str">
        <f>IF($G576="","",IF(AND(OR($O576="Vet",$O576="Woman Vet"),ISERROR(MATCH($N576,Lge_Vets!$B:$B,0))),1,0))</f>
        <v/>
      </c>
      <c r="E576" s="2" t="str">
        <f>IF($G576="","",IF(AND(OR($O576="Junior",$O576="Woman Junior",$O576="Youth",$O576="Woman Youth"),ISERROR(MATCH($N576,Lge_Junior!$B:$B,0))),1,0))</f>
        <v/>
      </c>
      <c r="F576" s="2" t="str">
        <f>IF($G576="","",IF(AND(LEFT($O576,3)="You",ISERROR(MATCH($N576,Lge_Youth!$B:$B,0))),1,0))</f>
        <v/>
      </c>
      <c r="G576" s="3"/>
      <c r="H576" s="3"/>
      <c r="I576" s="3"/>
      <c r="J576" s="3"/>
      <c r="K576" s="6"/>
      <c r="L576" s="4"/>
      <c r="M576" s="4"/>
      <c r="N576" s="8"/>
      <c r="O576" s="8"/>
      <c r="P576" s="9"/>
      <c r="Q576" s="8"/>
      <c r="R576" s="8"/>
      <c r="S576" s="9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10"/>
    </row>
    <row r="577" spans="1:39" x14ac:dyDescent="0.2">
      <c r="A577" s="2" t="str">
        <f>IF($G577="","",IF(ISERROR(MATCH($N577,Lge_Scratch!$B:$B,0)),1,0))</f>
        <v/>
      </c>
      <c r="B577" s="2" t="str">
        <f>IF($G577="","",IF(AND(LEFT($Q577,8)="Non-aero",ISERROR(MATCH($N577,Lge_NonAero!$B:$B,0))),1,0))</f>
        <v/>
      </c>
      <c r="C577" s="5" t="str">
        <f>IF($G577="","",IF(AND(LEFT($O577,3)="Wom",ISERROR(MATCH($N577,Lge_Women!$B:$B,0))),1,0))</f>
        <v/>
      </c>
      <c r="D577" s="2" t="str">
        <f>IF($G577="","",IF(AND(OR($O577="Vet",$O577="Woman Vet"),ISERROR(MATCH($N577,Lge_Vets!$B:$B,0))),1,0))</f>
        <v/>
      </c>
      <c r="E577" s="2" t="str">
        <f>IF($G577="","",IF(AND(OR($O577="Junior",$O577="Woman Junior",$O577="Youth",$O577="Woman Youth"),ISERROR(MATCH($N577,Lge_Junior!$B:$B,0))),1,0))</f>
        <v/>
      </c>
      <c r="F577" s="2" t="str">
        <f>IF($G577="","",IF(AND(LEFT($O577,3)="You",ISERROR(MATCH($N577,Lge_Youth!$B:$B,0))),1,0))</f>
        <v/>
      </c>
      <c r="G577" s="3"/>
      <c r="H577" s="3"/>
      <c r="I577" s="3"/>
      <c r="J577" s="3"/>
      <c r="K577" s="6"/>
      <c r="L577" s="4"/>
      <c r="M577" s="4"/>
      <c r="N577" s="8"/>
      <c r="O577" s="8"/>
      <c r="P577" s="9"/>
      <c r="Q577" s="8"/>
      <c r="R577" s="8"/>
      <c r="S577" s="9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10"/>
    </row>
    <row r="578" spans="1:39" x14ac:dyDescent="0.2">
      <c r="A578" s="2" t="str">
        <f>IF($G578="","",IF(ISERROR(MATCH($N578,Lge_Scratch!$B:$B,0)),1,0))</f>
        <v/>
      </c>
      <c r="B578" s="2" t="str">
        <f>IF($G578="","",IF(AND(LEFT($Q578,8)="Non-aero",ISERROR(MATCH($N578,Lge_NonAero!$B:$B,0))),1,0))</f>
        <v/>
      </c>
      <c r="C578" s="5" t="str">
        <f>IF($G578="","",IF(AND(LEFT($O578,3)="Wom",ISERROR(MATCH($N578,Lge_Women!$B:$B,0))),1,0))</f>
        <v/>
      </c>
      <c r="D578" s="2" t="str">
        <f>IF($G578="","",IF(AND(OR($O578="Vet",$O578="Woman Vet"),ISERROR(MATCH($N578,Lge_Vets!$B:$B,0))),1,0))</f>
        <v/>
      </c>
      <c r="E578" s="2" t="str">
        <f>IF($G578="","",IF(AND(OR($O578="Junior",$O578="Woman Junior",$O578="Youth",$O578="Woman Youth"),ISERROR(MATCH($N578,Lge_Junior!$B:$B,0))),1,0))</f>
        <v/>
      </c>
      <c r="F578" s="2" t="str">
        <f>IF($G578="","",IF(AND(LEFT($O578,3)="You",ISERROR(MATCH($N578,Lge_Youth!$B:$B,0))),1,0))</f>
        <v/>
      </c>
      <c r="G578" s="3"/>
      <c r="H578" s="3"/>
      <c r="I578" s="3"/>
      <c r="J578" s="3"/>
      <c r="K578" s="6"/>
      <c r="L578" s="4"/>
      <c r="M578" s="4"/>
      <c r="N578" s="8"/>
      <c r="O578" s="8"/>
      <c r="P578" s="9"/>
      <c r="Q578" s="8"/>
      <c r="R578" s="8"/>
      <c r="S578" s="9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10"/>
    </row>
    <row r="579" spans="1:39" x14ac:dyDescent="0.2">
      <c r="A579" s="2" t="str">
        <f>IF($G579="","",IF(ISERROR(MATCH($N579,Lge_Scratch!$B:$B,0)),1,0))</f>
        <v/>
      </c>
      <c r="B579" s="2" t="str">
        <f>IF($G579="","",IF(AND(LEFT($Q579,8)="Non-aero",ISERROR(MATCH($N579,Lge_NonAero!$B:$B,0))),1,0))</f>
        <v/>
      </c>
      <c r="C579" s="5" t="str">
        <f>IF($G579="","",IF(AND(LEFT($O579,3)="Wom",ISERROR(MATCH($N579,Lge_Women!$B:$B,0))),1,0))</f>
        <v/>
      </c>
      <c r="D579" s="2" t="str">
        <f>IF($G579="","",IF(AND(OR($O579="Vet",$O579="Woman Vet"),ISERROR(MATCH($N579,Lge_Vets!$B:$B,0))),1,0))</f>
        <v/>
      </c>
      <c r="E579" s="2" t="str">
        <f>IF($G579="","",IF(AND(OR($O579="Junior",$O579="Woman Junior",$O579="Youth",$O579="Woman Youth"),ISERROR(MATCH($N579,Lge_Junior!$B:$B,0))),1,0))</f>
        <v/>
      </c>
      <c r="F579" s="2" t="str">
        <f>IF($G579="","",IF(AND(LEFT($O579,3)="You",ISERROR(MATCH($N579,Lge_Youth!$B:$B,0))),1,0))</f>
        <v/>
      </c>
      <c r="G579" s="3"/>
      <c r="H579" s="3"/>
      <c r="I579" s="3"/>
      <c r="J579" s="3"/>
      <c r="K579" s="6"/>
      <c r="L579" s="4"/>
      <c r="M579" s="4"/>
      <c r="N579" s="8"/>
      <c r="O579" s="8"/>
      <c r="P579" s="9"/>
      <c r="Q579" s="8"/>
      <c r="R579" s="8"/>
      <c r="S579" s="9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10"/>
    </row>
    <row r="580" spans="1:39" x14ac:dyDescent="0.2">
      <c r="A580" s="2" t="str">
        <f>IF($G580="","",IF(ISERROR(MATCH($N580,Lge_Scratch!$B:$B,0)),1,0))</f>
        <v/>
      </c>
      <c r="B580" s="2" t="str">
        <f>IF($G580="","",IF(AND(LEFT($Q580,8)="Non-aero",ISERROR(MATCH($N580,Lge_NonAero!$B:$B,0))),1,0))</f>
        <v/>
      </c>
      <c r="C580" s="5" t="str">
        <f>IF($G580="","",IF(AND(LEFT($O580,3)="Wom",ISERROR(MATCH($N580,Lge_Women!$B:$B,0))),1,0))</f>
        <v/>
      </c>
      <c r="D580" s="2" t="str">
        <f>IF($G580="","",IF(AND(OR($O580="Vet",$O580="Woman Vet"),ISERROR(MATCH($N580,Lge_Vets!$B:$B,0))),1,0))</f>
        <v/>
      </c>
      <c r="E580" s="2" t="str">
        <f>IF($G580="","",IF(AND(OR($O580="Junior",$O580="Woman Junior",$O580="Youth",$O580="Woman Youth"),ISERROR(MATCH($N580,Lge_Junior!$B:$B,0))),1,0))</f>
        <v/>
      </c>
      <c r="F580" s="2" t="str">
        <f>IF($G580="","",IF(AND(LEFT($O580,3)="You",ISERROR(MATCH($N580,Lge_Youth!$B:$B,0))),1,0))</f>
        <v/>
      </c>
      <c r="G580" s="3"/>
      <c r="H580" s="3"/>
      <c r="I580" s="3"/>
      <c r="J580" s="3"/>
      <c r="K580" s="6"/>
      <c r="L580" s="4"/>
      <c r="M580" s="4"/>
      <c r="N580" s="8"/>
      <c r="O580" s="8"/>
      <c r="P580" s="9"/>
      <c r="Q580" s="8"/>
      <c r="R580" s="8"/>
      <c r="S580" s="9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10"/>
    </row>
    <row r="581" spans="1:39" x14ac:dyDescent="0.2">
      <c r="A581" s="2" t="str">
        <f>IF($G581="","",IF(ISERROR(MATCH($N581,Lge_Scratch!$B:$B,0)),1,0))</f>
        <v/>
      </c>
      <c r="B581" s="2" t="str">
        <f>IF($G581="","",IF(AND(LEFT($Q581,8)="Non-aero",ISERROR(MATCH($N581,Lge_NonAero!$B:$B,0))),1,0))</f>
        <v/>
      </c>
      <c r="C581" s="5" t="str">
        <f>IF($G581="","",IF(AND(LEFT($O581,3)="Wom",ISERROR(MATCH($N581,Lge_Women!$B:$B,0))),1,0))</f>
        <v/>
      </c>
      <c r="D581" s="2" t="str">
        <f>IF($G581="","",IF(AND(OR($O581="Vet",$O581="Woman Vet"),ISERROR(MATCH($N581,Lge_Vets!$B:$B,0))),1,0))</f>
        <v/>
      </c>
      <c r="E581" s="2" t="str">
        <f>IF($G581="","",IF(AND(OR($O581="Junior",$O581="Woman Junior",$O581="Youth",$O581="Woman Youth"),ISERROR(MATCH($N581,Lge_Junior!$B:$B,0))),1,0))</f>
        <v/>
      </c>
      <c r="F581" s="2" t="str">
        <f>IF($G581="","",IF(AND(LEFT($O581,3)="You",ISERROR(MATCH($N581,Lge_Youth!$B:$B,0))),1,0))</f>
        <v/>
      </c>
      <c r="G581" s="3"/>
      <c r="H581" s="3"/>
      <c r="I581" s="3"/>
      <c r="J581" s="3"/>
      <c r="K581" s="6"/>
      <c r="L581" s="4"/>
      <c r="M581" s="4"/>
      <c r="N581" s="8"/>
      <c r="O581" s="8"/>
      <c r="P581" s="9"/>
      <c r="Q581" s="8"/>
      <c r="R581" s="8"/>
      <c r="S581" s="9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10"/>
    </row>
    <row r="582" spans="1:39" x14ac:dyDescent="0.2">
      <c r="A582" s="2" t="str">
        <f>IF($G582="","",IF(ISERROR(MATCH($N582,Lge_Scratch!$B:$B,0)),1,0))</f>
        <v/>
      </c>
      <c r="B582" s="2" t="str">
        <f>IF($G582="","",IF(AND(LEFT($Q582,8)="Non-aero",ISERROR(MATCH($N582,Lge_NonAero!$B:$B,0))),1,0))</f>
        <v/>
      </c>
      <c r="C582" s="5" t="str">
        <f>IF($G582="","",IF(AND(LEFT($O582,3)="Wom",ISERROR(MATCH($N582,Lge_Women!$B:$B,0))),1,0))</f>
        <v/>
      </c>
      <c r="D582" s="2" t="str">
        <f>IF($G582="","",IF(AND(OR($O582="Vet",$O582="Woman Vet"),ISERROR(MATCH($N582,Lge_Vets!$B:$B,0))),1,0))</f>
        <v/>
      </c>
      <c r="E582" s="2" t="str">
        <f>IF($G582="","",IF(AND(OR($O582="Junior",$O582="Woman Junior",$O582="Youth",$O582="Woman Youth"),ISERROR(MATCH($N582,Lge_Junior!$B:$B,0))),1,0))</f>
        <v/>
      </c>
      <c r="F582" s="2" t="str">
        <f>IF($G582="","",IF(AND(LEFT($O582,3)="You",ISERROR(MATCH($N582,Lge_Youth!$B:$B,0))),1,0))</f>
        <v/>
      </c>
      <c r="G582" s="3"/>
      <c r="H582" s="3"/>
      <c r="I582" s="3"/>
      <c r="J582" s="3"/>
      <c r="K582" s="6"/>
      <c r="L582" s="4"/>
      <c r="M582" s="4"/>
      <c r="N582" s="8"/>
      <c r="O582" s="8"/>
      <c r="P582" s="9"/>
      <c r="Q582" s="8"/>
      <c r="R582" s="8"/>
      <c r="S582" s="9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10"/>
    </row>
    <row r="583" spans="1:39" x14ac:dyDescent="0.2">
      <c r="A583" s="2" t="str">
        <f>IF($G583="","",IF(ISERROR(MATCH($N583,Lge_Scratch!$B:$B,0)),1,0))</f>
        <v/>
      </c>
      <c r="B583" s="2" t="str">
        <f>IF($G583="","",IF(AND(LEFT($Q583,8)="Non-aero",ISERROR(MATCH($N583,Lge_NonAero!$B:$B,0))),1,0))</f>
        <v/>
      </c>
      <c r="C583" s="5" t="str">
        <f>IF($G583="","",IF(AND(LEFT($O583,3)="Wom",ISERROR(MATCH($N583,Lge_Women!$B:$B,0))),1,0))</f>
        <v/>
      </c>
      <c r="D583" s="2" t="str">
        <f>IF($G583="","",IF(AND(OR($O583="Vet",$O583="Woman Vet"),ISERROR(MATCH($N583,Lge_Vets!$B:$B,0))),1,0))</f>
        <v/>
      </c>
      <c r="E583" s="2" t="str">
        <f>IF($G583="","",IF(AND(OR($O583="Junior",$O583="Woman Junior",$O583="Youth",$O583="Woman Youth"),ISERROR(MATCH($N583,Lge_Junior!$B:$B,0))),1,0))</f>
        <v/>
      </c>
      <c r="F583" s="2" t="str">
        <f>IF($G583="","",IF(AND(LEFT($O583,3)="You",ISERROR(MATCH($N583,Lge_Youth!$B:$B,0))),1,0))</f>
        <v/>
      </c>
      <c r="G583" s="3"/>
      <c r="H583" s="3"/>
      <c r="I583" s="3"/>
      <c r="J583" s="3"/>
      <c r="K583" s="6"/>
      <c r="L583" s="4"/>
      <c r="M583" s="4"/>
      <c r="N583" s="8"/>
      <c r="O583" s="8"/>
      <c r="P583" s="9"/>
      <c r="Q583" s="8"/>
      <c r="R583" s="8"/>
      <c r="S583" s="9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10"/>
    </row>
    <row r="584" spans="1:39" x14ac:dyDescent="0.2">
      <c r="A584" s="2" t="str">
        <f>IF($G584="","",IF(ISERROR(MATCH($N584,Lge_Scratch!$B:$B,0)),1,0))</f>
        <v/>
      </c>
      <c r="B584" s="2" t="str">
        <f>IF($G584="","",IF(AND(LEFT($Q584,8)="Non-aero",ISERROR(MATCH($N584,Lge_NonAero!$B:$B,0))),1,0))</f>
        <v/>
      </c>
      <c r="C584" s="5" t="str">
        <f>IF($G584="","",IF(AND(LEFT($O584,3)="Wom",ISERROR(MATCH($N584,Lge_Women!$B:$B,0))),1,0))</f>
        <v/>
      </c>
      <c r="D584" s="2" t="str">
        <f>IF($G584="","",IF(AND(OR($O584="Vet",$O584="Woman Vet"),ISERROR(MATCH($N584,Lge_Vets!$B:$B,0))),1,0))</f>
        <v/>
      </c>
      <c r="E584" s="2" t="str">
        <f>IF($G584="","",IF(AND(OR($O584="Junior",$O584="Woman Junior",$O584="Youth",$O584="Woman Youth"),ISERROR(MATCH($N584,Lge_Junior!$B:$B,0))),1,0))</f>
        <v/>
      </c>
      <c r="F584" s="2" t="str">
        <f>IF($G584="","",IF(AND(LEFT($O584,3)="You",ISERROR(MATCH($N584,Lge_Youth!$B:$B,0))),1,0))</f>
        <v/>
      </c>
      <c r="G584" s="3"/>
      <c r="H584" s="3"/>
      <c r="I584" s="3"/>
      <c r="J584" s="3"/>
      <c r="K584" s="6"/>
      <c r="L584" s="4"/>
      <c r="M584" s="4"/>
      <c r="N584" s="8"/>
      <c r="O584" s="8"/>
      <c r="P584" s="9"/>
      <c r="Q584" s="8"/>
      <c r="R584" s="8"/>
      <c r="S584" s="9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10"/>
    </row>
    <row r="585" spans="1:39" x14ac:dyDescent="0.2">
      <c r="A585" s="2" t="str">
        <f>IF($G585="","",IF(ISERROR(MATCH($N585,Lge_Scratch!$B:$B,0)),1,0))</f>
        <v/>
      </c>
      <c r="B585" s="2" t="str">
        <f>IF($G585="","",IF(AND(LEFT($Q585,8)="Non-aero",ISERROR(MATCH($N585,Lge_NonAero!$B:$B,0))),1,0))</f>
        <v/>
      </c>
      <c r="C585" s="5" t="str">
        <f>IF($G585="","",IF(AND(LEFT($O585,3)="Wom",ISERROR(MATCH($N585,Lge_Women!$B:$B,0))),1,0))</f>
        <v/>
      </c>
      <c r="D585" s="2" t="str">
        <f>IF($G585="","",IF(AND(OR($O585="Vet",$O585="Woman Vet"),ISERROR(MATCH($N585,Lge_Vets!$B:$B,0))),1,0))</f>
        <v/>
      </c>
      <c r="E585" s="2" t="str">
        <f>IF($G585="","",IF(AND(OR($O585="Junior",$O585="Woman Junior",$O585="Youth",$O585="Woman Youth"),ISERROR(MATCH($N585,Lge_Junior!$B:$B,0))),1,0))</f>
        <v/>
      </c>
      <c r="F585" s="2" t="str">
        <f>IF($G585="","",IF(AND(LEFT($O585,3)="You",ISERROR(MATCH($N585,Lge_Youth!$B:$B,0))),1,0))</f>
        <v/>
      </c>
      <c r="G585" s="3"/>
      <c r="H585" s="3"/>
      <c r="I585" s="3"/>
      <c r="J585" s="3"/>
      <c r="K585" s="6"/>
      <c r="L585" s="4"/>
      <c r="M585" s="4"/>
      <c r="N585" s="8"/>
      <c r="O585" s="8"/>
      <c r="P585" s="9"/>
      <c r="Q585" s="8"/>
      <c r="R585" s="8"/>
      <c r="S585" s="9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10"/>
    </row>
    <row r="586" spans="1:39" x14ac:dyDescent="0.2">
      <c r="A586" s="2" t="str">
        <f>IF($G586="","",IF(ISERROR(MATCH($N586,Lge_Scratch!$B:$B,0)),1,0))</f>
        <v/>
      </c>
      <c r="B586" s="2" t="str">
        <f>IF($G586="","",IF(AND(LEFT($Q586,8)="Non-aero",ISERROR(MATCH($N586,Lge_NonAero!$B:$B,0))),1,0))</f>
        <v/>
      </c>
      <c r="C586" s="5" t="str">
        <f>IF($G586="","",IF(AND(LEFT($O586,3)="Wom",ISERROR(MATCH($N586,Lge_Women!$B:$B,0))),1,0))</f>
        <v/>
      </c>
      <c r="D586" s="2" t="str">
        <f>IF($G586="","",IF(AND(OR($O586="Vet",$O586="Woman Vet"),ISERROR(MATCH($N586,Lge_Vets!$B:$B,0))),1,0))</f>
        <v/>
      </c>
      <c r="E586" s="2" t="str">
        <f>IF($G586="","",IF(AND(OR($O586="Junior",$O586="Woman Junior",$O586="Youth",$O586="Woman Youth"),ISERROR(MATCH($N586,Lge_Junior!$B:$B,0))),1,0))</f>
        <v/>
      </c>
      <c r="F586" s="2" t="str">
        <f>IF($G586="","",IF(AND(LEFT($O586,3)="You",ISERROR(MATCH($N586,Lge_Youth!$B:$B,0))),1,0))</f>
        <v/>
      </c>
      <c r="G586" s="3"/>
      <c r="H586" s="3"/>
      <c r="I586" s="3"/>
      <c r="J586" s="3"/>
      <c r="K586" s="6"/>
      <c r="L586" s="4"/>
      <c r="M586" s="4"/>
      <c r="N586" s="8"/>
      <c r="O586" s="8"/>
      <c r="P586" s="9"/>
      <c r="Q586" s="8"/>
      <c r="R586" s="8"/>
      <c r="S586" s="9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10"/>
    </row>
    <row r="587" spans="1:39" x14ac:dyDescent="0.2">
      <c r="A587" s="2" t="str">
        <f>IF($G587="","",IF(ISERROR(MATCH($N587,Lge_Scratch!$B:$B,0)),1,0))</f>
        <v/>
      </c>
      <c r="B587" s="2" t="str">
        <f>IF($G587="","",IF(AND(LEFT($Q587,8)="Non-aero",ISERROR(MATCH($N587,Lge_NonAero!$B:$B,0))),1,0))</f>
        <v/>
      </c>
      <c r="C587" s="5" t="str">
        <f>IF($G587="","",IF(AND(LEFT($O587,3)="Wom",ISERROR(MATCH($N587,Lge_Women!$B:$B,0))),1,0))</f>
        <v/>
      </c>
      <c r="D587" s="2" t="str">
        <f>IF($G587="","",IF(AND(OR($O587="Vet",$O587="Woman Vet"),ISERROR(MATCH($N587,Lge_Vets!$B:$B,0))),1,0))</f>
        <v/>
      </c>
      <c r="E587" s="2" t="str">
        <f>IF($G587="","",IF(AND(OR($O587="Junior",$O587="Woman Junior",$O587="Youth",$O587="Woman Youth"),ISERROR(MATCH($N587,Lge_Junior!$B:$B,0))),1,0))</f>
        <v/>
      </c>
      <c r="F587" s="2" t="str">
        <f>IF($G587="","",IF(AND(LEFT($O587,3)="You",ISERROR(MATCH($N587,Lge_Youth!$B:$B,0))),1,0))</f>
        <v/>
      </c>
      <c r="G587" s="3"/>
      <c r="H587" s="3"/>
      <c r="I587" s="3"/>
      <c r="J587" s="3"/>
      <c r="K587" s="6"/>
      <c r="L587" s="4"/>
      <c r="M587" s="4"/>
      <c r="N587" s="8"/>
      <c r="O587" s="8"/>
      <c r="P587" s="9"/>
      <c r="Q587" s="8"/>
      <c r="R587" s="8"/>
      <c r="S587" s="9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10"/>
    </row>
    <row r="588" spans="1:39" x14ac:dyDescent="0.2">
      <c r="A588" s="2" t="str">
        <f>IF($G588="","",IF(ISERROR(MATCH($N588,Lge_Scratch!$B:$B,0)),1,0))</f>
        <v/>
      </c>
      <c r="B588" s="2" t="str">
        <f>IF($G588="","",IF(AND(LEFT($Q588,8)="Non-aero",ISERROR(MATCH($N588,Lge_NonAero!$B:$B,0))),1,0))</f>
        <v/>
      </c>
      <c r="C588" s="5" t="str">
        <f>IF($G588="","",IF(AND(LEFT($O588,3)="Wom",ISERROR(MATCH($N588,Lge_Women!$B:$B,0))),1,0))</f>
        <v/>
      </c>
      <c r="D588" s="2" t="str">
        <f>IF($G588="","",IF(AND(OR($O588="Vet",$O588="Woman Vet"),ISERROR(MATCH($N588,Lge_Vets!$B:$B,0))),1,0))</f>
        <v/>
      </c>
      <c r="E588" s="2" t="str">
        <f>IF($G588="","",IF(AND(OR($O588="Junior",$O588="Woman Junior",$O588="Youth",$O588="Woman Youth"),ISERROR(MATCH($N588,Lge_Junior!$B:$B,0))),1,0))</f>
        <v/>
      </c>
      <c r="F588" s="2" t="str">
        <f>IF($G588="","",IF(AND(LEFT($O588,3)="You",ISERROR(MATCH($N588,Lge_Youth!$B:$B,0))),1,0))</f>
        <v/>
      </c>
      <c r="G588" s="3"/>
      <c r="H588" s="3"/>
      <c r="I588" s="3"/>
      <c r="J588" s="3"/>
      <c r="K588" s="6"/>
      <c r="L588" s="4"/>
      <c r="M588" s="4"/>
      <c r="N588" s="8"/>
      <c r="O588" s="8"/>
      <c r="P588" s="9"/>
      <c r="Q588" s="8"/>
      <c r="R588" s="8"/>
      <c r="S588" s="9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10"/>
    </row>
    <row r="589" spans="1:39" x14ac:dyDescent="0.2">
      <c r="A589" s="2" t="str">
        <f>IF($G589="","",IF(ISERROR(MATCH($N589,Lge_Scratch!$B:$B,0)),1,0))</f>
        <v/>
      </c>
      <c r="B589" s="2" t="str">
        <f>IF($G589="","",IF(AND(LEFT($Q589,8)="Non-aero",ISERROR(MATCH($N589,Lge_NonAero!$B:$B,0))),1,0))</f>
        <v/>
      </c>
      <c r="C589" s="5" t="str">
        <f>IF($G589="","",IF(AND(LEFT($O589,3)="Wom",ISERROR(MATCH($N589,Lge_Women!$B:$B,0))),1,0))</f>
        <v/>
      </c>
      <c r="D589" s="2" t="str">
        <f>IF($G589="","",IF(AND(OR($O589="Vet",$O589="Woman Vet"),ISERROR(MATCH($N589,Lge_Vets!$B:$B,0))),1,0))</f>
        <v/>
      </c>
      <c r="E589" s="2" t="str">
        <f>IF($G589="","",IF(AND(OR($O589="Junior",$O589="Woman Junior",$O589="Youth",$O589="Woman Youth"),ISERROR(MATCH($N589,Lge_Junior!$B:$B,0))),1,0))</f>
        <v/>
      </c>
      <c r="F589" s="2" t="str">
        <f>IF($G589="","",IF(AND(LEFT($O589,3)="You",ISERROR(MATCH($N589,Lge_Youth!$B:$B,0))),1,0))</f>
        <v/>
      </c>
      <c r="G589" s="3"/>
      <c r="H589" s="3"/>
      <c r="I589" s="3"/>
      <c r="J589" s="3"/>
      <c r="K589" s="6"/>
      <c r="L589" s="4"/>
      <c r="M589" s="4"/>
      <c r="N589" s="8"/>
      <c r="O589" s="8"/>
      <c r="P589" s="9"/>
      <c r="Q589" s="8"/>
      <c r="R589" s="8"/>
      <c r="S589" s="9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10"/>
    </row>
    <row r="590" spans="1:39" x14ac:dyDescent="0.2">
      <c r="A590" s="2" t="str">
        <f>IF($G590="","",IF(ISERROR(MATCH($N590,Lge_Scratch!$B:$B,0)),1,0))</f>
        <v/>
      </c>
      <c r="B590" s="2" t="str">
        <f>IF($G590="","",IF(AND(LEFT($Q590,8)="Non-aero",ISERROR(MATCH($N590,Lge_NonAero!$B:$B,0))),1,0))</f>
        <v/>
      </c>
      <c r="C590" s="5" t="str">
        <f>IF($G590="","",IF(AND(LEFT($O590,3)="Wom",ISERROR(MATCH($N590,Lge_Women!$B:$B,0))),1,0))</f>
        <v/>
      </c>
      <c r="D590" s="2" t="str">
        <f>IF($G590="","",IF(AND(OR($O590="Vet",$O590="Woman Vet"),ISERROR(MATCH($N590,Lge_Vets!$B:$B,0))),1,0))</f>
        <v/>
      </c>
      <c r="E590" s="2" t="str">
        <f>IF($G590="","",IF(AND(OR($O590="Junior",$O590="Woman Junior",$O590="Youth",$O590="Woman Youth"),ISERROR(MATCH($N590,Lge_Junior!$B:$B,0))),1,0))</f>
        <v/>
      </c>
      <c r="F590" s="2" t="str">
        <f>IF($G590="","",IF(AND(LEFT($O590,3)="You",ISERROR(MATCH($N590,Lge_Youth!$B:$B,0))),1,0))</f>
        <v/>
      </c>
      <c r="G590" s="3"/>
      <c r="H590" s="3"/>
      <c r="I590" s="3"/>
      <c r="J590" s="3"/>
      <c r="K590" s="6"/>
      <c r="L590" s="4"/>
      <c r="M590" s="4"/>
      <c r="N590" s="8"/>
      <c r="O590" s="8"/>
      <c r="P590" s="9"/>
      <c r="Q590" s="8"/>
      <c r="R590" s="8"/>
      <c r="S590" s="9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10"/>
    </row>
    <row r="591" spans="1:39" x14ac:dyDescent="0.2">
      <c r="A591" s="2" t="str">
        <f>IF($G591="","",IF(ISERROR(MATCH($N591,Lge_Scratch!$B:$B,0)),1,0))</f>
        <v/>
      </c>
      <c r="B591" s="2" t="str">
        <f>IF($G591="","",IF(AND(LEFT($Q591,8)="Non-aero",ISERROR(MATCH($N591,Lge_NonAero!$B:$B,0))),1,0))</f>
        <v/>
      </c>
      <c r="C591" s="5" t="str">
        <f>IF($G591="","",IF(AND(LEFT($O591,3)="Wom",ISERROR(MATCH($N591,Lge_Women!$B:$B,0))),1,0))</f>
        <v/>
      </c>
      <c r="D591" s="2" t="str">
        <f>IF($G591="","",IF(AND(OR($O591="Vet",$O591="Woman Vet"),ISERROR(MATCH($N591,Lge_Vets!$B:$B,0))),1,0))</f>
        <v/>
      </c>
      <c r="E591" s="2" t="str">
        <f>IF($G591="","",IF(AND(OR($O591="Junior",$O591="Woman Junior",$O591="Youth",$O591="Woman Youth"),ISERROR(MATCH($N591,Lge_Junior!$B:$B,0))),1,0))</f>
        <v/>
      </c>
      <c r="F591" s="2" t="str">
        <f>IF($G591="","",IF(AND(LEFT($O591,3)="You",ISERROR(MATCH($N591,Lge_Youth!$B:$B,0))),1,0))</f>
        <v/>
      </c>
      <c r="G591" s="3"/>
      <c r="H591" s="3"/>
      <c r="I591" s="3"/>
      <c r="J591" s="3"/>
      <c r="K591" s="6"/>
      <c r="L591" s="4"/>
      <c r="M591" s="4"/>
      <c r="N591" s="8"/>
      <c r="O591" s="8"/>
      <c r="P591" s="9"/>
      <c r="Q591" s="8"/>
      <c r="R591" s="8"/>
      <c r="S591" s="9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10"/>
    </row>
    <row r="592" spans="1:39" x14ac:dyDescent="0.2">
      <c r="A592" s="2" t="str">
        <f>IF($G592="","",IF(ISERROR(MATCH($N592,Lge_Scratch!$B:$B,0)),1,0))</f>
        <v/>
      </c>
      <c r="B592" s="2" t="str">
        <f>IF($G592="","",IF(AND(LEFT($Q592,8)="Non-aero",ISERROR(MATCH($N592,Lge_NonAero!$B:$B,0))),1,0))</f>
        <v/>
      </c>
      <c r="C592" s="5" t="str">
        <f>IF($G592="","",IF(AND(LEFT($O592,3)="Wom",ISERROR(MATCH($N592,Lge_Women!$B:$B,0))),1,0))</f>
        <v/>
      </c>
      <c r="D592" s="2" t="str">
        <f>IF($G592="","",IF(AND(OR($O592="Vet",$O592="Woman Vet"),ISERROR(MATCH($N592,Lge_Vets!$B:$B,0))),1,0))</f>
        <v/>
      </c>
      <c r="E592" s="2" t="str">
        <f>IF($G592="","",IF(AND(OR($O592="Junior",$O592="Woman Junior",$O592="Youth",$O592="Woman Youth"),ISERROR(MATCH($N592,Lge_Junior!$B:$B,0))),1,0))</f>
        <v/>
      </c>
      <c r="F592" s="2" t="str">
        <f>IF($G592="","",IF(AND(LEFT($O592,3)="You",ISERROR(MATCH($N592,Lge_Youth!$B:$B,0))),1,0))</f>
        <v/>
      </c>
      <c r="G592" s="3"/>
      <c r="H592" s="3"/>
      <c r="I592" s="3"/>
      <c r="J592" s="3"/>
      <c r="K592" s="6"/>
      <c r="L592" s="4"/>
      <c r="M592" s="4"/>
      <c r="N592" s="8"/>
      <c r="O592" s="8"/>
      <c r="P592" s="9"/>
      <c r="Q592" s="8"/>
      <c r="R592" s="8"/>
      <c r="S592" s="9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10"/>
    </row>
    <row r="593" spans="1:39" x14ac:dyDescent="0.2">
      <c r="A593" s="2" t="str">
        <f>IF($G593="","",IF(ISERROR(MATCH($N593,Lge_Scratch!$B:$B,0)),1,0))</f>
        <v/>
      </c>
      <c r="B593" s="2" t="str">
        <f>IF($G593="","",IF(AND(LEFT($Q593,8)="Non-aero",ISERROR(MATCH($N593,Lge_NonAero!$B:$B,0))),1,0))</f>
        <v/>
      </c>
      <c r="C593" s="5" t="str">
        <f>IF($G593="","",IF(AND(LEFT($O593,3)="Wom",ISERROR(MATCH($N593,Lge_Women!$B:$B,0))),1,0))</f>
        <v/>
      </c>
      <c r="D593" s="2" t="str">
        <f>IF($G593="","",IF(AND(OR($O593="Vet",$O593="Woman Vet"),ISERROR(MATCH($N593,Lge_Vets!$B:$B,0))),1,0))</f>
        <v/>
      </c>
      <c r="E593" s="2" t="str">
        <f>IF($G593="","",IF(AND(OR($O593="Junior",$O593="Woman Junior",$O593="Youth",$O593="Woman Youth"),ISERROR(MATCH($N593,Lge_Junior!$B:$B,0))),1,0))</f>
        <v/>
      </c>
      <c r="F593" s="2" t="str">
        <f>IF($G593="","",IF(AND(LEFT($O593,3)="You",ISERROR(MATCH($N593,Lge_Youth!$B:$B,0))),1,0))</f>
        <v/>
      </c>
      <c r="G593" s="3"/>
      <c r="H593" s="3"/>
      <c r="I593" s="3"/>
      <c r="J593" s="3"/>
      <c r="K593" s="6"/>
      <c r="L593" s="4"/>
      <c r="M593" s="4"/>
      <c r="N593" s="8"/>
      <c r="O593" s="8"/>
      <c r="P593" s="9"/>
      <c r="Q593" s="8"/>
      <c r="R593" s="8"/>
      <c r="S593" s="9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10"/>
    </row>
    <row r="594" spans="1:39" x14ac:dyDescent="0.2">
      <c r="A594" s="2" t="str">
        <f>IF($G594="","",IF(ISERROR(MATCH($N594,Lge_Scratch!$B:$B,0)),1,0))</f>
        <v/>
      </c>
      <c r="B594" s="2" t="str">
        <f>IF($G594="","",IF(AND(LEFT($Q594,8)="Non-aero",ISERROR(MATCH($N594,Lge_NonAero!$B:$B,0))),1,0))</f>
        <v/>
      </c>
      <c r="C594" s="5" t="str">
        <f>IF($G594="","",IF(AND(LEFT($O594,3)="Wom",ISERROR(MATCH($N594,Lge_Women!$B:$B,0))),1,0))</f>
        <v/>
      </c>
      <c r="D594" s="2" t="str">
        <f>IF($G594="","",IF(AND(OR($O594="Vet",$O594="Woman Vet"),ISERROR(MATCH($N594,Lge_Vets!$B:$B,0))),1,0))</f>
        <v/>
      </c>
      <c r="E594" s="2" t="str">
        <f>IF($G594="","",IF(AND(OR($O594="Junior",$O594="Woman Junior",$O594="Youth",$O594="Woman Youth"),ISERROR(MATCH($N594,Lge_Junior!$B:$B,0))),1,0))</f>
        <v/>
      </c>
      <c r="F594" s="2" t="str">
        <f>IF($G594="","",IF(AND(LEFT($O594,3)="You",ISERROR(MATCH($N594,Lge_Youth!$B:$B,0))),1,0))</f>
        <v/>
      </c>
      <c r="G594" s="3"/>
      <c r="H594" s="3"/>
      <c r="I594" s="3"/>
      <c r="J594" s="3"/>
      <c r="K594" s="6"/>
      <c r="L594" s="4"/>
      <c r="M594" s="4"/>
      <c r="N594" s="8"/>
      <c r="O594" s="8"/>
      <c r="P594" s="9"/>
      <c r="Q594" s="8"/>
      <c r="R594" s="8"/>
      <c r="S594" s="9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10"/>
    </row>
    <row r="595" spans="1:39" x14ac:dyDescent="0.2">
      <c r="A595" s="2" t="str">
        <f>IF($G595="","",IF(ISERROR(MATCH($N595,Lge_Scratch!$B:$B,0)),1,0))</f>
        <v/>
      </c>
      <c r="B595" s="2" t="str">
        <f>IF($G595="","",IF(AND(LEFT($Q595,8)="Non-aero",ISERROR(MATCH($N595,Lge_NonAero!$B:$B,0))),1,0))</f>
        <v/>
      </c>
      <c r="C595" s="5" t="str">
        <f>IF($G595="","",IF(AND(LEFT($O595,3)="Wom",ISERROR(MATCH($N595,Lge_Women!$B:$B,0))),1,0))</f>
        <v/>
      </c>
      <c r="D595" s="2" t="str">
        <f>IF($G595="","",IF(AND(OR($O595="Vet",$O595="Woman Vet"),ISERROR(MATCH($N595,Lge_Vets!$B:$B,0))),1,0))</f>
        <v/>
      </c>
      <c r="E595" s="2" t="str">
        <f>IF($G595="","",IF(AND(OR($O595="Junior",$O595="Woman Junior",$O595="Youth",$O595="Woman Youth"),ISERROR(MATCH($N595,Lge_Junior!$B:$B,0))),1,0))</f>
        <v/>
      </c>
      <c r="F595" s="2" t="str">
        <f>IF($G595="","",IF(AND(LEFT($O595,3)="You",ISERROR(MATCH($N595,Lge_Youth!$B:$B,0))),1,0))</f>
        <v/>
      </c>
      <c r="G595" s="3"/>
      <c r="H595" s="3"/>
      <c r="I595" s="3"/>
      <c r="J595" s="3"/>
      <c r="K595" s="6"/>
      <c r="L595" s="4"/>
      <c r="M595" s="4"/>
      <c r="N595" s="8"/>
      <c r="O595" s="8"/>
      <c r="P595" s="9"/>
      <c r="Q595" s="8"/>
      <c r="R595" s="8"/>
      <c r="S595" s="9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10"/>
    </row>
    <row r="596" spans="1:39" x14ac:dyDescent="0.2">
      <c r="A596" s="2" t="str">
        <f>IF($G596="","",IF(ISERROR(MATCH($N596,Lge_Scratch!$B:$B,0)),1,0))</f>
        <v/>
      </c>
      <c r="B596" s="2" t="str">
        <f>IF($G596="","",IF(AND(LEFT($Q596,8)="Non-aero",ISERROR(MATCH($N596,Lge_NonAero!$B:$B,0))),1,0))</f>
        <v/>
      </c>
      <c r="C596" s="5" t="str">
        <f>IF($G596="","",IF(AND(LEFT($O596,3)="Wom",ISERROR(MATCH($N596,Lge_Women!$B:$B,0))),1,0))</f>
        <v/>
      </c>
      <c r="D596" s="2" t="str">
        <f>IF($G596="","",IF(AND(OR($O596="Vet",$O596="Woman Vet"),ISERROR(MATCH($N596,Lge_Vets!$B:$B,0))),1,0))</f>
        <v/>
      </c>
      <c r="E596" s="2" t="str">
        <f>IF($G596="","",IF(AND(OR($O596="Junior",$O596="Woman Junior",$O596="Youth",$O596="Woman Youth"),ISERROR(MATCH($N596,Lge_Junior!$B:$B,0))),1,0))</f>
        <v/>
      </c>
      <c r="F596" s="2" t="str">
        <f>IF($G596="","",IF(AND(LEFT($O596,3)="You",ISERROR(MATCH($N596,Lge_Youth!$B:$B,0))),1,0))</f>
        <v/>
      </c>
      <c r="G596" s="3"/>
      <c r="H596" s="3"/>
      <c r="I596" s="3"/>
      <c r="J596" s="3"/>
      <c r="K596" s="6"/>
      <c r="L596" s="4"/>
      <c r="M596" s="4"/>
      <c r="N596" s="8"/>
      <c r="O596" s="8"/>
      <c r="P596" s="9"/>
      <c r="Q596" s="8"/>
      <c r="R596" s="8"/>
      <c r="S596" s="9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10"/>
    </row>
    <row r="597" spans="1:39" x14ac:dyDescent="0.2">
      <c r="A597" s="2" t="str">
        <f>IF($G597="","",IF(ISERROR(MATCH($N597,Lge_Scratch!$B:$B,0)),1,0))</f>
        <v/>
      </c>
      <c r="B597" s="2" t="str">
        <f>IF($G597="","",IF(AND(LEFT($Q597,8)="Non-aero",ISERROR(MATCH($N597,Lge_NonAero!$B:$B,0))),1,0))</f>
        <v/>
      </c>
      <c r="C597" s="5" t="str">
        <f>IF($G597="","",IF(AND(LEFT($O597,3)="Wom",ISERROR(MATCH($N597,Lge_Women!$B:$B,0))),1,0))</f>
        <v/>
      </c>
      <c r="D597" s="2" t="str">
        <f>IF($G597="","",IF(AND(OR($O597="Vet",$O597="Woman Vet"),ISERROR(MATCH($N597,Lge_Vets!$B:$B,0))),1,0))</f>
        <v/>
      </c>
      <c r="E597" s="2" t="str">
        <f>IF($G597="","",IF(AND(OR($O597="Junior",$O597="Woman Junior",$O597="Youth",$O597="Woman Youth"),ISERROR(MATCH($N597,Lge_Junior!$B:$B,0))),1,0))</f>
        <v/>
      </c>
      <c r="F597" s="2" t="str">
        <f>IF($G597="","",IF(AND(LEFT($O597,3)="You",ISERROR(MATCH($N597,Lge_Youth!$B:$B,0))),1,0))</f>
        <v/>
      </c>
      <c r="G597" s="3"/>
      <c r="H597" s="3"/>
      <c r="I597" s="3"/>
      <c r="J597" s="3"/>
      <c r="K597" s="6"/>
      <c r="L597" s="4"/>
      <c r="M597" s="4"/>
      <c r="N597" s="8"/>
      <c r="O597" s="8"/>
      <c r="P597" s="9"/>
      <c r="Q597" s="8"/>
      <c r="R597" s="8"/>
      <c r="S597" s="9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10"/>
    </row>
    <row r="598" spans="1:39" x14ac:dyDescent="0.2">
      <c r="A598" s="2" t="str">
        <f>IF($G598="","",IF(ISERROR(MATCH($N598,Lge_Scratch!$B:$B,0)),1,0))</f>
        <v/>
      </c>
      <c r="B598" s="2" t="str">
        <f>IF($G598="","",IF(AND(LEFT($Q598,8)="Non-aero",ISERROR(MATCH($N598,Lge_NonAero!$B:$B,0))),1,0))</f>
        <v/>
      </c>
      <c r="C598" s="5" t="str">
        <f>IF($G598="","",IF(AND(LEFT($O598,3)="Wom",ISERROR(MATCH($N598,Lge_Women!$B:$B,0))),1,0))</f>
        <v/>
      </c>
      <c r="D598" s="2" t="str">
        <f>IF($G598="","",IF(AND(OR($O598="Vet",$O598="Woman Vet"),ISERROR(MATCH($N598,Lge_Vets!$B:$B,0))),1,0))</f>
        <v/>
      </c>
      <c r="E598" s="2" t="str">
        <f>IF($G598="","",IF(AND(OR($O598="Junior",$O598="Woman Junior",$O598="Youth",$O598="Woman Youth"),ISERROR(MATCH($N598,Lge_Junior!$B:$B,0))),1,0))</f>
        <v/>
      </c>
      <c r="F598" s="2" t="str">
        <f>IF($G598="","",IF(AND(LEFT($O598,3)="You",ISERROR(MATCH($N598,Lge_Youth!$B:$B,0))),1,0))</f>
        <v/>
      </c>
      <c r="G598" s="3"/>
      <c r="H598" s="3"/>
      <c r="I598" s="3"/>
      <c r="J598" s="3"/>
      <c r="K598" s="6"/>
      <c r="L598" s="4"/>
      <c r="M598" s="4"/>
      <c r="N598" s="8"/>
      <c r="O598" s="8"/>
      <c r="P598" s="9"/>
      <c r="Q598" s="8"/>
      <c r="R598" s="8"/>
      <c r="S598" s="9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10"/>
    </row>
    <row r="599" spans="1:39" x14ac:dyDescent="0.2">
      <c r="A599" s="2" t="str">
        <f>IF($G599="","",IF(ISERROR(MATCH($N599,Lge_Scratch!$B:$B,0)),1,0))</f>
        <v/>
      </c>
      <c r="B599" s="2" t="str">
        <f>IF($G599="","",IF(AND(LEFT($Q599,8)="Non-aero",ISERROR(MATCH($N599,Lge_NonAero!$B:$B,0))),1,0))</f>
        <v/>
      </c>
      <c r="C599" s="5" t="str">
        <f>IF($G599="","",IF(AND(LEFT($O599,3)="Wom",ISERROR(MATCH($N599,Lge_Women!$B:$B,0))),1,0))</f>
        <v/>
      </c>
      <c r="D599" s="2" t="str">
        <f>IF($G599="","",IF(AND(OR($O599="Vet",$O599="Woman Vet"),ISERROR(MATCH($N599,Lge_Vets!$B:$B,0))),1,0))</f>
        <v/>
      </c>
      <c r="E599" s="2" t="str">
        <f>IF($G599="","",IF(AND(OR($O599="Junior",$O599="Woman Junior",$O599="Youth",$O599="Woman Youth"),ISERROR(MATCH($N599,Lge_Junior!$B:$B,0))),1,0))</f>
        <v/>
      </c>
      <c r="F599" s="2" t="str">
        <f>IF($G599="","",IF(AND(LEFT($O599,3)="You",ISERROR(MATCH($N599,Lge_Youth!$B:$B,0))),1,0))</f>
        <v/>
      </c>
      <c r="G599" s="3"/>
      <c r="H599" s="3"/>
      <c r="I599" s="3"/>
      <c r="J599" s="3"/>
      <c r="K599" s="6"/>
      <c r="L599" s="4"/>
      <c r="M599" s="4"/>
      <c r="N599" s="8"/>
      <c r="O599" s="8"/>
      <c r="P599" s="9"/>
      <c r="Q599" s="8"/>
      <c r="R599" s="8"/>
      <c r="S599" s="9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10"/>
    </row>
    <row r="600" spans="1:39" x14ac:dyDescent="0.2">
      <c r="A600" s="2" t="str">
        <f>IF($G600="","",IF(ISERROR(MATCH($N600,Lge_Scratch!$B:$B,0)),1,0))</f>
        <v/>
      </c>
      <c r="B600" s="2" t="str">
        <f>IF($G600="","",IF(AND(LEFT($Q600,8)="Non-aero",ISERROR(MATCH($N600,Lge_NonAero!$B:$B,0))),1,0))</f>
        <v/>
      </c>
      <c r="C600" s="5" t="str">
        <f>IF($G600="","",IF(AND(LEFT($O600,3)="Wom",ISERROR(MATCH($N600,Lge_Women!$B:$B,0))),1,0))</f>
        <v/>
      </c>
      <c r="D600" s="2" t="str">
        <f>IF($G600="","",IF(AND(OR($O600="Vet",$O600="Woman Vet"),ISERROR(MATCH($N600,Lge_Vets!$B:$B,0))),1,0))</f>
        <v/>
      </c>
      <c r="E600" s="2" t="str">
        <f>IF($G600="","",IF(AND(OR($O600="Junior",$O600="Woman Junior",$O600="Youth",$O600="Woman Youth"),ISERROR(MATCH($N600,Lge_Junior!$B:$B,0))),1,0))</f>
        <v/>
      </c>
      <c r="F600" s="2" t="str">
        <f>IF($G600="","",IF(AND(LEFT($O600,3)="You",ISERROR(MATCH($N600,Lge_Youth!$B:$B,0))),1,0))</f>
        <v/>
      </c>
      <c r="G600" s="3"/>
      <c r="H600" s="3"/>
      <c r="I600" s="3"/>
      <c r="J600" s="3"/>
      <c r="K600" s="6"/>
      <c r="L600" s="4"/>
      <c r="M600" s="4"/>
      <c r="N600" s="8"/>
      <c r="O600" s="8"/>
      <c r="P600" s="9"/>
      <c r="Q600" s="8"/>
      <c r="R600" s="8"/>
      <c r="S600" s="9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10"/>
    </row>
    <row r="601" spans="1:39" x14ac:dyDescent="0.2">
      <c r="A601" s="2" t="str">
        <f>IF($G601="","",IF(ISERROR(MATCH($N601,Lge_Scratch!$B:$B,0)),1,0))</f>
        <v/>
      </c>
      <c r="B601" s="2" t="str">
        <f>IF($G601="","",IF(AND(LEFT($Q601,8)="Non-aero",ISERROR(MATCH($N601,Lge_NonAero!$B:$B,0))),1,0))</f>
        <v/>
      </c>
      <c r="C601" s="5" t="str">
        <f>IF($G601="","",IF(AND(LEFT($O601,3)="Wom",ISERROR(MATCH($N601,Lge_Women!$B:$B,0))),1,0))</f>
        <v/>
      </c>
      <c r="D601" s="2" t="str">
        <f>IF($G601="","",IF(AND(OR($O601="Vet",$O601="Woman Vet"),ISERROR(MATCH($N601,Lge_Vets!$B:$B,0))),1,0))</f>
        <v/>
      </c>
      <c r="E601" s="2" t="str">
        <f>IF($G601="","",IF(AND(OR($O601="Junior",$O601="Woman Junior",$O601="Youth",$O601="Woman Youth"),ISERROR(MATCH($N601,Lge_Junior!$B:$B,0))),1,0))</f>
        <v/>
      </c>
      <c r="F601" s="2" t="str">
        <f>IF($G601="","",IF(AND(LEFT($O601,3)="You",ISERROR(MATCH($N601,Lge_Youth!$B:$B,0))),1,0))</f>
        <v/>
      </c>
      <c r="G601" s="3"/>
      <c r="H601" s="3"/>
      <c r="I601" s="3"/>
      <c r="J601" s="3"/>
      <c r="K601" s="6"/>
      <c r="L601" s="4"/>
      <c r="M601" s="4"/>
      <c r="N601" s="8"/>
      <c r="O601" s="8"/>
      <c r="P601" s="9"/>
      <c r="Q601" s="8"/>
      <c r="R601" s="8"/>
      <c r="S601" s="9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10"/>
    </row>
    <row r="602" spans="1:39" x14ac:dyDescent="0.2">
      <c r="A602" s="2" t="str">
        <f>IF($G602="","",IF(ISERROR(MATCH($N602,Lge_Scratch!$B:$B,0)),1,0))</f>
        <v/>
      </c>
      <c r="B602" s="2" t="str">
        <f>IF($G602="","",IF(AND(LEFT($Q602,8)="Non-aero",ISERROR(MATCH($N602,Lge_NonAero!$B:$B,0))),1,0))</f>
        <v/>
      </c>
      <c r="C602" s="5" t="str">
        <f>IF($G602="","",IF(AND(LEFT($O602,3)="Wom",ISERROR(MATCH($N602,Lge_Women!$B:$B,0))),1,0))</f>
        <v/>
      </c>
      <c r="D602" s="2" t="str">
        <f>IF($G602="","",IF(AND(OR($O602="Vet",$O602="Woman Vet"),ISERROR(MATCH($N602,Lge_Vets!$B:$B,0))),1,0))</f>
        <v/>
      </c>
      <c r="E602" s="2" t="str">
        <f>IF($G602="","",IF(AND(OR($O602="Junior",$O602="Woman Junior",$O602="Youth",$O602="Woman Youth"),ISERROR(MATCH($N602,Lge_Junior!$B:$B,0))),1,0))</f>
        <v/>
      </c>
      <c r="F602" s="2" t="str">
        <f>IF($G602="","",IF(AND(LEFT($O602,3)="You",ISERROR(MATCH($N602,Lge_Youth!$B:$B,0))),1,0))</f>
        <v/>
      </c>
      <c r="G602" s="3"/>
      <c r="H602" s="3"/>
      <c r="I602" s="3"/>
      <c r="J602" s="3"/>
      <c r="K602" s="6"/>
      <c r="L602" s="4"/>
      <c r="M602" s="4"/>
      <c r="N602" s="8"/>
      <c r="O602" s="8"/>
      <c r="P602" s="9"/>
      <c r="Q602" s="8"/>
      <c r="R602" s="8"/>
      <c r="S602" s="9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10"/>
    </row>
    <row r="603" spans="1:39" x14ac:dyDescent="0.2">
      <c r="A603" s="2" t="str">
        <f>IF($G603="","",IF(ISERROR(MATCH($N603,Lge_Scratch!$B:$B,0)),1,0))</f>
        <v/>
      </c>
      <c r="B603" s="2" t="str">
        <f>IF($G603="","",IF(AND(LEFT($Q603,8)="Non-aero",ISERROR(MATCH($N603,Lge_NonAero!$B:$B,0))),1,0))</f>
        <v/>
      </c>
      <c r="C603" s="5" t="str">
        <f>IF($G603="","",IF(AND(LEFT($O603,3)="Wom",ISERROR(MATCH($N603,Lge_Women!$B:$B,0))),1,0))</f>
        <v/>
      </c>
      <c r="D603" s="2" t="str">
        <f>IF($G603="","",IF(AND(OR($O603="Vet",$O603="Woman Vet"),ISERROR(MATCH($N603,Lge_Vets!$B:$B,0))),1,0))</f>
        <v/>
      </c>
      <c r="E603" s="2" t="str">
        <f>IF($G603="","",IF(AND(OR($O603="Junior",$O603="Woman Junior",$O603="Youth",$O603="Woman Youth"),ISERROR(MATCH($N603,Lge_Junior!$B:$B,0))),1,0))</f>
        <v/>
      </c>
      <c r="F603" s="2" t="str">
        <f>IF($G603="","",IF(AND(LEFT($O603,3)="You",ISERROR(MATCH($N603,Lge_Youth!$B:$B,0))),1,0))</f>
        <v/>
      </c>
      <c r="G603" s="3"/>
      <c r="H603" s="3"/>
      <c r="I603" s="3"/>
      <c r="J603" s="3"/>
      <c r="K603" s="6"/>
      <c r="L603" s="4"/>
      <c r="M603" s="4"/>
      <c r="N603" s="8"/>
      <c r="O603" s="8"/>
      <c r="P603" s="9"/>
      <c r="Q603" s="8"/>
      <c r="R603" s="8"/>
      <c r="S603" s="9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10"/>
    </row>
    <row r="604" spans="1:39" x14ac:dyDescent="0.2">
      <c r="A604" s="2" t="str">
        <f>IF($G604="","",IF(ISERROR(MATCH($N604,Lge_Scratch!$B:$B,0)),1,0))</f>
        <v/>
      </c>
      <c r="B604" s="2" t="str">
        <f>IF($G604="","",IF(AND(LEFT($Q604,8)="Non-aero",ISERROR(MATCH($N604,Lge_NonAero!$B:$B,0))),1,0))</f>
        <v/>
      </c>
      <c r="C604" s="5" t="str">
        <f>IF($G604="","",IF(AND(LEFT($O604,3)="Wom",ISERROR(MATCH($N604,Lge_Women!$B:$B,0))),1,0))</f>
        <v/>
      </c>
      <c r="D604" s="2" t="str">
        <f>IF($G604="","",IF(AND(OR($O604="Vet",$O604="Woman Vet"),ISERROR(MATCH($N604,Lge_Vets!$B:$B,0))),1,0))</f>
        <v/>
      </c>
      <c r="E604" s="2" t="str">
        <f>IF($G604="","",IF(AND(OR($O604="Junior",$O604="Woman Junior",$O604="Youth",$O604="Woman Youth"),ISERROR(MATCH($N604,Lge_Junior!$B:$B,0))),1,0))</f>
        <v/>
      </c>
      <c r="F604" s="2" t="str">
        <f>IF($G604="","",IF(AND(LEFT($O604,3)="You",ISERROR(MATCH($N604,Lge_Youth!$B:$B,0))),1,0))</f>
        <v/>
      </c>
      <c r="G604" s="3"/>
      <c r="H604" s="3"/>
      <c r="I604" s="3"/>
      <c r="J604" s="3"/>
      <c r="K604" s="6"/>
      <c r="L604" s="4"/>
      <c r="M604" s="4"/>
      <c r="N604" s="8"/>
      <c r="O604" s="8"/>
      <c r="P604" s="9"/>
      <c r="Q604" s="8"/>
      <c r="R604" s="8"/>
      <c r="S604" s="9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10"/>
    </row>
    <row r="605" spans="1:39" x14ac:dyDescent="0.2">
      <c r="A605" s="2" t="str">
        <f>IF($G605="","",IF(ISERROR(MATCH($N605,Lge_Scratch!$B:$B,0)),1,0))</f>
        <v/>
      </c>
      <c r="B605" s="2" t="str">
        <f>IF($G605="","",IF(AND(LEFT($Q605,8)="Non-aero",ISERROR(MATCH($N605,Lge_NonAero!$B:$B,0))),1,0))</f>
        <v/>
      </c>
      <c r="C605" s="5" t="str">
        <f>IF($G605="","",IF(AND(LEFT($O605,3)="Wom",ISERROR(MATCH($N605,Lge_Women!$B:$B,0))),1,0))</f>
        <v/>
      </c>
      <c r="D605" s="2" t="str">
        <f>IF($G605="","",IF(AND(OR($O605="Vet",$O605="Woman Vet"),ISERROR(MATCH($N605,Lge_Vets!$B:$B,0))),1,0))</f>
        <v/>
      </c>
      <c r="E605" s="2" t="str">
        <f>IF($G605="","",IF(AND(OR($O605="Junior",$O605="Woman Junior",$O605="Youth",$O605="Woman Youth"),ISERROR(MATCH($N605,Lge_Junior!$B:$B,0))),1,0))</f>
        <v/>
      </c>
      <c r="F605" s="2" t="str">
        <f>IF($G605="","",IF(AND(LEFT($O605,3)="You",ISERROR(MATCH($N605,Lge_Youth!$B:$B,0))),1,0))</f>
        <v/>
      </c>
      <c r="G605" s="3"/>
      <c r="H605" s="3"/>
      <c r="I605" s="3"/>
      <c r="J605" s="3"/>
      <c r="K605" s="6"/>
      <c r="L605" s="4"/>
      <c r="M605" s="4"/>
      <c r="N605" s="8"/>
      <c r="O605" s="8"/>
      <c r="P605" s="9"/>
      <c r="Q605" s="8"/>
      <c r="R605" s="8"/>
      <c r="S605" s="9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10"/>
    </row>
    <row r="606" spans="1:39" x14ac:dyDescent="0.2">
      <c r="A606" s="2" t="str">
        <f>IF($G606="","",IF(ISERROR(MATCH($N606,Lge_Scratch!$B:$B,0)),1,0))</f>
        <v/>
      </c>
      <c r="B606" s="2" t="str">
        <f>IF($G606="","",IF(AND(LEFT($Q606,8)="Non-aero",ISERROR(MATCH($N606,Lge_NonAero!$B:$B,0))),1,0))</f>
        <v/>
      </c>
      <c r="C606" s="5" t="str">
        <f>IF($G606="","",IF(AND(LEFT($O606,3)="Wom",ISERROR(MATCH($N606,Lge_Women!$B:$B,0))),1,0))</f>
        <v/>
      </c>
      <c r="D606" s="2" t="str">
        <f>IF($G606="","",IF(AND(OR($O606="Vet",$O606="Woman Vet"),ISERROR(MATCH($N606,Lge_Vets!$B:$B,0))),1,0))</f>
        <v/>
      </c>
      <c r="E606" s="2" t="str">
        <f>IF($G606="","",IF(AND(OR($O606="Junior",$O606="Woman Junior",$O606="Youth",$O606="Woman Youth"),ISERROR(MATCH($N606,Lge_Junior!$B:$B,0))),1,0))</f>
        <v/>
      </c>
      <c r="F606" s="2" t="str">
        <f>IF($G606="","",IF(AND(LEFT($O606,3)="You",ISERROR(MATCH($N606,Lge_Youth!$B:$B,0))),1,0))</f>
        <v/>
      </c>
      <c r="G606" s="3"/>
      <c r="H606" s="3"/>
      <c r="I606" s="3"/>
      <c r="J606" s="3"/>
      <c r="K606" s="6"/>
      <c r="L606" s="4"/>
      <c r="M606" s="4"/>
      <c r="N606" s="8"/>
      <c r="O606" s="8"/>
      <c r="P606" s="9"/>
      <c r="Q606" s="8"/>
      <c r="R606" s="8"/>
      <c r="S606" s="9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10"/>
    </row>
    <row r="607" spans="1:39" x14ac:dyDescent="0.2">
      <c r="A607" s="2" t="str">
        <f>IF($G607="","",IF(ISERROR(MATCH($N607,Lge_Scratch!$B:$B,0)),1,0))</f>
        <v/>
      </c>
      <c r="B607" s="2" t="str">
        <f>IF($G607="","",IF(AND(LEFT($Q607,8)="Non-aero",ISERROR(MATCH($N607,Lge_NonAero!$B:$B,0))),1,0))</f>
        <v/>
      </c>
      <c r="C607" s="5" t="str">
        <f>IF($G607="","",IF(AND(LEFT($O607,3)="Wom",ISERROR(MATCH($N607,Lge_Women!$B:$B,0))),1,0))</f>
        <v/>
      </c>
      <c r="D607" s="2" t="str">
        <f>IF($G607="","",IF(AND(OR($O607="Vet",$O607="Woman Vet"),ISERROR(MATCH($N607,Lge_Vets!$B:$B,0))),1,0))</f>
        <v/>
      </c>
      <c r="E607" s="2" t="str">
        <f>IF($G607="","",IF(AND(OR($O607="Junior",$O607="Woman Junior",$O607="Youth",$O607="Woman Youth"),ISERROR(MATCH($N607,Lge_Junior!$B:$B,0))),1,0))</f>
        <v/>
      </c>
      <c r="F607" s="2" t="str">
        <f>IF($G607="","",IF(AND(LEFT($O607,3)="You",ISERROR(MATCH($N607,Lge_Youth!$B:$B,0))),1,0))</f>
        <v/>
      </c>
      <c r="G607" s="3"/>
      <c r="H607" s="3"/>
      <c r="I607" s="3"/>
      <c r="J607" s="3"/>
      <c r="K607" s="6"/>
      <c r="L607" s="4"/>
      <c r="M607" s="4"/>
      <c r="N607" s="8"/>
      <c r="O607" s="8"/>
      <c r="P607" s="9"/>
      <c r="Q607" s="8"/>
      <c r="R607" s="8"/>
      <c r="S607" s="9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10"/>
    </row>
    <row r="608" spans="1:39" x14ac:dyDescent="0.2">
      <c r="A608" s="2" t="str">
        <f>IF($G608="","",IF(ISERROR(MATCH($N608,Lge_Scratch!$B:$B,0)),1,0))</f>
        <v/>
      </c>
      <c r="B608" s="2" t="str">
        <f>IF($G608="","",IF(AND(LEFT($Q608,8)="Non-aero",ISERROR(MATCH($N608,Lge_NonAero!$B:$B,0))),1,0))</f>
        <v/>
      </c>
      <c r="C608" s="5" t="str">
        <f>IF($G608="","",IF(AND(LEFT($O608,3)="Wom",ISERROR(MATCH($N608,Lge_Women!$B:$B,0))),1,0))</f>
        <v/>
      </c>
      <c r="D608" s="2" t="str">
        <f>IF($G608="","",IF(AND(OR($O608="Vet",$O608="Woman Vet"),ISERROR(MATCH($N608,Lge_Vets!$B:$B,0))),1,0))</f>
        <v/>
      </c>
      <c r="E608" s="2" t="str">
        <f>IF($G608="","",IF(AND(OR($O608="Junior",$O608="Woman Junior",$O608="Youth",$O608="Woman Youth"),ISERROR(MATCH($N608,Lge_Junior!$B:$B,0))),1,0))</f>
        <v/>
      </c>
      <c r="F608" s="2" t="str">
        <f>IF($G608="","",IF(AND(LEFT($O608,3)="You",ISERROR(MATCH($N608,Lge_Youth!$B:$B,0))),1,0))</f>
        <v/>
      </c>
      <c r="G608" s="3"/>
      <c r="H608" s="3"/>
      <c r="I608" s="3"/>
      <c r="J608" s="3"/>
      <c r="K608" s="6"/>
      <c r="L608" s="4"/>
      <c r="M608" s="4"/>
      <c r="N608" s="8"/>
      <c r="O608" s="8"/>
      <c r="P608" s="9"/>
      <c r="Q608" s="8"/>
      <c r="R608" s="8"/>
      <c r="S608" s="9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10"/>
    </row>
    <row r="609" spans="1:39" x14ac:dyDescent="0.2">
      <c r="A609" s="2" t="str">
        <f>IF($G609="","",IF(ISERROR(MATCH($N609,Lge_Scratch!$B:$B,0)),1,0))</f>
        <v/>
      </c>
      <c r="B609" s="2" t="str">
        <f>IF($G609="","",IF(AND(LEFT($Q609,8)="Non-aero",ISERROR(MATCH($N609,Lge_NonAero!$B:$B,0))),1,0))</f>
        <v/>
      </c>
      <c r="C609" s="5" t="str">
        <f>IF($G609="","",IF(AND(LEFT($O609,3)="Wom",ISERROR(MATCH($N609,Lge_Women!$B:$B,0))),1,0))</f>
        <v/>
      </c>
      <c r="D609" s="2" t="str">
        <f>IF($G609="","",IF(AND(OR($O609="Vet",$O609="Woman Vet"),ISERROR(MATCH($N609,Lge_Vets!$B:$B,0))),1,0))</f>
        <v/>
      </c>
      <c r="E609" s="2" t="str">
        <f>IF($G609="","",IF(AND(OR($O609="Junior",$O609="Woman Junior",$O609="Youth",$O609="Woman Youth"),ISERROR(MATCH($N609,Lge_Junior!$B:$B,0))),1,0))</f>
        <v/>
      </c>
      <c r="F609" s="2" t="str">
        <f>IF($G609="","",IF(AND(LEFT($O609,3)="You",ISERROR(MATCH($N609,Lge_Youth!$B:$B,0))),1,0))</f>
        <v/>
      </c>
      <c r="G609" s="3"/>
      <c r="H609" s="3"/>
      <c r="I609" s="3"/>
      <c r="J609" s="3"/>
      <c r="K609" s="6"/>
      <c r="L609" s="4"/>
      <c r="M609" s="4"/>
      <c r="N609" s="8"/>
      <c r="O609" s="8"/>
      <c r="P609" s="9"/>
      <c r="Q609" s="8"/>
      <c r="R609" s="8"/>
      <c r="S609" s="9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10"/>
    </row>
    <row r="610" spans="1:39" x14ac:dyDescent="0.2">
      <c r="A610" s="2" t="str">
        <f>IF($G610="","",IF(ISERROR(MATCH($N610,Lge_Scratch!$B:$B,0)),1,0))</f>
        <v/>
      </c>
      <c r="B610" s="2" t="str">
        <f>IF($G610="","",IF(AND(LEFT($Q610,8)="Non-aero",ISERROR(MATCH($N610,Lge_NonAero!$B:$B,0))),1,0))</f>
        <v/>
      </c>
      <c r="C610" s="5" t="str">
        <f>IF($G610="","",IF(AND(LEFT($O610,3)="Wom",ISERROR(MATCH($N610,Lge_Women!$B:$B,0))),1,0))</f>
        <v/>
      </c>
      <c r="D610" s="2" t="str">
        <f>IF($G610="","",IF(AND(OR($O610="Vet",$O610="Woman Vet"),ISERROR(MATCH($N610,Lge_Vets!$B:$B,0))),1,0))</f>
        <v/>
      </c>
      <c r="E610" s="2" t="str">
        <f>IF($G610="","",IF(AND(OR($O610="Junior",$O610="Woman Junior",$O610="Youth",$O610="Woman Youth"),ISERROR(MATCH($N610,Lge_Junior!$B:$B,0))),1,0))</f>
        <v/>
      </c>
      <c r="F610" s="2" t="str">
        <f>IF($G610="","",IF(AND(LEFT($O610,3)="You",ISERROR(MATCH($N610,Lge_Youth!$B:$B,0))),1,0))</f>
        <v/>
      </c>
      <c r="G610" s="3"/>
      <c r="H610" s="3"/>
      <c r="I610" s="3"/>
      <c r="J610" s="3"/>
      <c r="K610" s="6"/>
      <c r="L610" s="4"/>
      <c r="M610" s="4"/>
      <c r="N610" s="8"/>
      <c r="O610" s="8"/>
      <c r="P610" s="9"/>
      <c r="Q610" s="8"/>
      <c r="R610" s="8"/>
      <c r="S610" s="9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10"/>
    </row>
    <row r="611" spans="1:39" x14ac:dyDescent="0.2">
      <c r="A611" s="2" t="str">
        <f>IF($G611="","",IF(ISERROR(MATCH($N611,Lge_Scratch!$B:$B,0)),1,0))</f>
        <v/>
      </c>
      <c r="B611" s="2" t="str">
        <f>IF($G611="","",IF(AND(LEFT($Q611,8)="Non-aero",ISERROR(MATCH($N611,Lge_NonAero!$B:$B,0))),1,0))</f>
        <v/>
      </c>
      <c r="C611" s="5" t="str">
        <f>IF($G611="","",IF(AND(LEFT($O611,3)="Wom",ISERROR(MATCH($N611,Lge_Women!$B:$B,0))),1,0))</f>
        <v/>
      </c>
      <c r="D611" s="2" t="str">
        <f>IF($G611="","",IF(AND(OR($O611="Vet",$O611="Woman Vet"),ISERROR(MATCH($N611,Lge_Vets!$B:$B,0))),1,0))</f>
        <v/>
      </c>
      <c r="E611" s="2" t="str">
        <f>IF($G611="","",IF(AND(OR($O611="Junior",$O611="Woman Junior",$O611="Youth",$O611="Woman Youth"),ISERROR(MATCH($N611,Lge_Junior!$B:$B,0))),1,0))</f>
        <v/>
      </c>
      <c r="F611" s="2" t="str">
        <f>IF($G611="","",IF(AND(LEFT($O611,3)="You",ISERROR(MATCH($N611,Lge_Youth!$B:$B,0))),1,0))</f>
        <v/>
      </c>
      <c r="G611" s="3"/>
      <c r="H611" s="3"/>
      <c r="I611" s="3"/>
      <c r="J611" s="3"/>
      <c r="K611" s="6"/>
      <c r="L611" s="4"/>
      <c r="M611" s="4"/>
      <c r="N611" s="8"/>
      <c r="O611" s="8"/>
      <c r="P611" s="9"/>
      <c r="Q611" s="8"/>
      <c r="R611" s="8"/>
      <c r="S611" s="9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10"/>
    </row>
    <row r="612" spans="1:39" x14ac:dyDescent="0.2">
      <c r="A612" s="2" t="str">
        <f>IF($G612="","",IF(ISERROR(MATCH($N612,Lge_Scratch!$B:$B,0)),1,0))</f>
        <v/>
      </c>
      <c r="B612" s="2" t="str">
        <f>IF($G612="","",IF(AND(LEFT($Q612,8)="Non-aero",ISERROR(MATCH($N612,Lge_NonAero!$B:$B,0))),1,0))</f>
        <v/>
      </c>
      <c r="C612" s="5" t="str">
        <f>IF($G612="","",IF(AND(LEFT($O612,3)="Wom",ISERROR(MATCH($N612,Lge_Women!$B:$B,0))),1,0))</f>
        <v/>
      </c>
      <c r="D612" s="2" t="str">
        <f>IF($G612="","",IF(AND(OR($O612="Vet",$O612="Woman Vet"),ISERROR(MATCH($N612,Lge_Vets!$B:$B,0))),1,0))</f>
        <v/>
      </c>
      <c r="E612" s="2" t="str">
        <f>IF($G612="","",IF(AND(OR($O612="Junior",$O612="Woman Junior",$O612="Youth",$O612="Woman Youth"),ISERROR(MATCH($N612,Lge_Junior!$B:$B,0))),1,0))</f>
        <v/>
      </c>
      <c r="F612" s="2" t="str">
        <f>IF($G612="","",IF(AND(LEFT($O612,3)="You",ISERROR(MATCH($N612,Lge_Youth!$B:$B,0))),1,0))</f>
        <v/>
      </c>
      <c r="G612" s="3"/>
      <c r="H612" s="3"/>
      <c r="I612" s="3"/>
      <c r="J612" s="3"/>
      <c r="K612" s="6"/>
      <c r="L612" s="4"/>
      <c r="M612" s="4"/>
      <c r="N612" s="8"/>
      <c r="O612" s="8"/>
      <c r="P612" s="9"/>
      <c r="Q612" s="8"/>
      <c r="R612" s="8"/>
      <c r="S612" s="9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10"/>
    </row>
    <row r="613" spans="1:39" x14ac:dyDescent="0.2">
      <c r="A613" s="2" t="str">
        <f>IF($G613="","",IF(ISERROR(MATCH($N613,Lge_Scratch!$B:$B,0)),1,0))</f>
        <v/>
      </c>
      <c r="B613" s="2" t="str">
        <f>IF($G613="","",IF(AND(LEFT($Q613,8)="Non-aero",ISERROR(MATCH($N613,Lge_NonAero!$B:$B,0))),1,0))</f>
        <v/>
      </c>
      <c r="C613" s="5" t="str">
        <f>IF($G613="","",IF(AND(LEFT($O613,3)="Wom",ISERROR(MATCH($N613,Lge_Women!$B:$B,0))),1,0))</f>
        <v/>
      </c>
      <c r="D613" s="2" t="str">
        <f>IF($G613="","",IF(AND(OR($O613="Vet",$O613="Woman Vet"),ISERROR(MATCH($N613,Lge_Vets!$B:$B,0))),1,0))</f>
        <v/>
      </c>
      <c r="E613" s="2" t="str">
        <f>IF($G613="","",IF(AND(OR($O613="Junior",$O613="Woman Junior",$O613="Youth",$O613="Woman Youth"),ISERROR(MATCH($N613,Lge_Junior!$B:$B,0))),1,0))</f>
        <v/>
      </c>
      <c r="F613" s="2" t="str">
        <f>IF($G613="","",IF(AND(LEFT($O613,3)="You",ISERROR(MATCH($N613,Lge_Youth!$B:$B,0))),1,0))</f>
        <v/>
      </c>
      <c r="G613" s="3"/>
      <c r="H613" s="3"/>
      <c r="I613" s="3"/>
      <c r="J613" s="3"/>
      <c r="K613" s="6"/>
      <c r="L613" s="4"/>
      <c r="M613" s="4"/>
      <c r="N613" s="8"/>
      <c r="O613" s="8"/>
      <c r="P613" s="9"/>
      <c r="Q613" s="8"/>
      <c r="R613" s="8"/>
      <c r="S613" s="9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10"/>
    </row>
    <row r="614" spans="1:39" x14ac:dyDescent="0.2">
      <c r="A614" s="2" t="str">
        <f>IF($G614="","",IF(ISERROR(MATCH($N614,Lge_Scratch!$B:$B,0)),1,0))</f>
        <v/>
      </c>
      <c r="B614" s="2" t="str">
        <f>IF($G614="","",IF(AND(LEFT($Q614,8)="Non-aero",ISERROR(MATCH($N614,Lge_NonAero!$B:$B,0))),1,0))</f>
        <v/>
      </c>
      <c r="C614" s="5" t="str">
        <f>IF($G614="","",IF(AND(LEFT($O614,3)="Wom",ISERROR(MATCH($N614,Lge_Women!$B:$B,0))),1,0))</f>
        <v/>
      </c>
      <c r="D614" s="2" t="str">
        <f>IF($G614="","",IF(AND(OR($O614="Vet",$O614="Woman Vet"),ISERROR(MATCH($N614,Lge_Vets!$B:$B,0))),1,0))</f>
        <v/>
      </c>
      <c r="E614" s="2" t="str">
        <f>IF($G614="","",IF(AND(OR($O614="Junior",$O614="Woman Junior",$O614="Youth",$O614="Woman Youth"),ISERROR(MATCH($N614,Lge_Junior!$B:$B,0))),1,0))</f>
        <v/>
      </c>
      <c r="F614" s="2" t="str">
        <f>IF($G614="","",IF(AND(LEFT($O614,3)="You",ISERROR(MATCH($N614,Lge_Youth!$B:$B,0))),1,0))</f>
        <v/>
      </c>
      <c r="G614" s="3"/>
      <c r="H614" s="3"/>
      <c r="I614" s="3"/>
      <c r="J614" s="3"/>
      <c r="K614" s="6"/>
      <c r="L614" s="4"/>
      <c r="M614" s="4"/>
      <c r="N614" s="8"/>
      <c r="O614" s="8"/>
      <c r="P614" s="9"/>
      <c r="Q614" s="8"/>
      <c r="R614" s="8"/>
      <c r="S614" s="9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10"/>
    </row>
    <row r="615" spans="1:39" x14ac:dyDescent="0.2">
      <c r="A615" s="2" t="str">
        <f>IF($G615="","",IF(ISERROR(MATCH($N615,Lge_Scratch!$B:$B,0)),1,0))</f>
        <v/>
      </c>
      <c r="B615" s="2" t="str">
        <f>IF($G615="","",IF(AND(LEFT($Q615,8)="Non-aero",ISERROR(MATCH($N615,Lge_NonAero!$B:$B,0))),1,0))</f>
        <v/>
      </c>
      <c r="C615" s="5" t="str">
        <f>IF($G615="","",IF(AND(LEFT($O615,3)="Wom",ISERROR(MATCH($N615,Lge_Women!$B:$B,0))),1,0))</f>
        <v/>
      </c>
      <c r="D615" s="2" t="str">
        <f>IF($G615="","",IF(AND(OR($O615="Vet",$O615="Woman Vet"),ISERROR(MATCH($N615,Lge_Vets!$B:$B,0))),1,0))</f>
        <v/>
      </c>
      <c r="E615" s="2" t="str">
        <f>IF($G615="","",IF(AND(OR($O615="Junior",$O615="Woman Junior",$O615="Youth",$O615="Woman Youth"),ISERROR(MATCH($N615,Lge_Junior!$B:$B,0))),1,0))</f>
        <v/>
      </c>
      <c r="F615" s="2" t="str">
        <f>IF($G615="","",IF(AND(LEFT($O615,3)="You",ISERROR(MATCH($N615,Lge_Youth!$B:$B,0))),1,0))</f>
        <v/>
      </c>
      <c r="G615" s="3"/>
      <c r="H615" s="3"/>
      <c r="I615" s="3"/>
      <c r="J615" s="3"/>
      <c r="K615" s="6"/>
      <c r="L615" s="4"/>
      <c r="M615" s="4"/>
      <c r="N615" s="8"/>
      <c r="O615" s="8"/>
      <c r="P615" s="9"/>
      <c r="Q615" s="8"/>
      <c r="R615" s="8"/>
      <c r="S615" s="9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10"/>
    </row>
    <row r="616" spans="1:39" x14ac:dyDescent="0.2">
      <c r="A616" s="2" t="str">
        <f>IF($G616="","",IF(ISERROR(MATCH($N616,Lge_Scratch!$B:$B,0)),1,0))</f>
        <v/>
      </c>
      <c r="B616" s="2" t="str">
        <f>IF($G616="","",IF(AND(LEFT($Q616,8)="Non-aero",ISERROR(MATCH($N616,Lge_NonAero!$B:$B,0))),1,0))</f>
        <v/>
      </c>
      <c r="C616" s="5" t="str">
        <f>IF($G616="","",IF(AND(LEFT($O616,3)="Wom",ISERROR(MATCH($N616,Lge_Women!$B:$B,0))),1,0))</f>
        <v/>
      </c>
      <c r="D616" s="2" t="str">
        <f>IF($G616="","",IF(AND(OR($O616="Vet",$O616="Woman Vet"),ISERROR(MATCH($N616,Lge_Vets!$B:$B,0))),1,0))</f>
        <v/>
      </c>
      <c r="E616" s="2" t="str">
        <f>IF($G616="","",IF(AND(OR($O616="Junior",$O616="Woman Junior",$O616="Youth",$O616="Woman Youth"),ISERROR(MATCH($N616,Lge_Junior!$B:$B,0))),1,0))</f>
        <v/>
      </c>
      <c r="F616" s="2" t="str">
        <f>IF($G616="","",IF(AND(LEFT($O616,3)="You",ISERROR(MATCH($N616,Lge_Youth!$B:$B,0))),1,0))</f>
        <v/>
      </c>
      <c r="G616" s="3"/>
      <c r="H616" s="3"/>
      <c r="I616" s="3"/>
      <c r="J616" s="3"/>
      <c r="K616" s="6"/>
      <c r="L616" s="4"/>
      <c r="M616" s="4"/>
      <c r="N616" s="8"/>
      <c r="O616" s="8"/>
      <c r="P616" s="9"/>
      <c r="Q616" s="8"/>
      <c r="R616" s="8"/>
      <c r="S616" s="9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10"/>
    </row>
    <row r="617" spans="1:39" x14ac:dyDescent="0.2">
      <c r="A617" s="2" t="str">
        <f>IF($G617="","",IF(ISERROR(MATCH($N617,Lge_Scratch!$B:$B,0)),1,0))</f>
        <v/>
      </c>
      <c r="B617" s="2" t="str">
        <f>IF($G617="","",IF(AND(LEFT($Q617,8)="Non-aero",ISERROR(MATCH($N617,Lge_NonAero!$B:$B,0))),1,0))</f>
        <v/>
      </c>
      <c r="C617" s="5" t="str">
        <f>IF($G617="","",IF(AND(LEFT($O617,3)="Wom",ISERROR(MATCH($N617,Lge_Women!$B:$B,0))),1,0))</f>
        <v/>
      </c>
      <c r="D617" s="2" t="str">
        <f>IF($G617="","",IF(AND(OR($O617="Vet",$O617="Woman Vet"),ISERROR(MATCH($N617,Lge_Vets!$B:$B,0))),1,0))</f>
        <v/>
      </c>
      <c r="E617" s="2" t="str">
        <f>IF($G617="","",IF(AND(OR($O617="Junior",$O617="Woman Junior",$O617="Youth",$O617="Woman Youth"),ISERROR(MATCH($N617,Lge_Junior!$B:$B,0))),1,0))</f>
        <v/>
      </c>
      <c r="F617" s="2" t="str">
        <f>IF($G617="","",IF(AND(LEFT($O617,3)="You",ISERROR(MATCH($N617,Lge_Youth!$B:$B,0))),1,0))</f>
        <v/>
      </c>
      <c r="G617" s="3"/>
      <c r="H617" s="3"/>
      <c r="I617" s="3"/>
      <c r="J617" s="3"/>
      <c r="K617" s="6"/>
      <c r="L617" s="4"/>
      <c r="M617" s="4"/>
      <c r="N617" s="8"/>
      <c r="O617" s="8"/>
      <c r="P617" s="9"/>
      <c r="Q617" s="8"/>
      <c r="R617" s="8"/>
      <c r="S617" s="9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10"/>
    </row>
    <row r="618" spans="1:39" x14ac:dyDescent="0.2">
      <c r="A618" s="2" t="str">
        <f>IF($G618="","",IF(ISERROR(MATCH($N618,Lge_Scratch!$B:$B,0)),1,0))</f>
        <v/>
      </c>
      <c r="B618" s="2" t="str">
        <f>IF($G618="","",IF(AND(LEFT($Q618,8)="Non-aero",ISERROR(MATCH($N618,Lge_NonAero!$B:$B,0))),1,0))</f>
        <v/>
      </c>
      <c r="C618" s="5" t="str">
        <f>IF($G618="","",IF(AND(LEFT($O618,3)="Wom",ISERROR(MATCH($N618,Lge_Women!$B:$B,0))),1,0))</f>
        <v/>
      </c>
      <c r="D618" s="2" t="str">
        <f>IF($G618="","",IF(AND(OR($O618="Vet",$O618="Woman Vet"),ISERROR(MATCH($N618,Lge_Vets!$B:$B,0))),1,0))</f>
        <v/>
      </c>
      <c r="E618" s="2" t="str">
        <f>IF($G618="","",IF(AND(OR($O618="Junior",$O618="Woman Junior",$O618="Youth",$O618="Woman Youth"),ISERROR(MATCH($N618,Lge_Junior!$B:$B,0))),1,0))</f>
        <v/>
      </c>
      <c r="F618" s="2" t="str">
        <f>IF($G618="","",IF(AND(LEFT($O618,3)="You",ISERROR(MATCH($N618,Lge_Youth!$B:$B,0))),1,0))</f>
        <v/>
      </c>
      <c r="G618" s="3"/>
      <c r="H618" s="3"/>
      <c r="I618" s="3"/>
      <c r="J618" s="3"/>
      <c r="K618" s="6"/>
      <c r="L618" s="4"/>
      <c r="M618" s="4"/>
      <c r="N618" s="8"/>
      <c r="O618" s="8"/>
      <c r="P618" s="9"/>
      <c r="Q618" s="8"/>
      <c r="R618" s="8"/>
      <c r="S618" s="9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10"/>
    </row>
    <row r="619" spans="1:39" x14ac:dyDescent="0.2">
      <c r="A619" s="2" t="str">
        <f>IF($G619="","",IF(ISERROR(MATCH($N619,Lge_Scratch!$B:$B,0)),1,0))</f>
        <v/>
      </c>
      <c r="B619" s="2" t="str">
        <f>IF($G619="","",IF(AND(LEFT($Q619,8)="Non-aero",ISERROR(MATCH($N619,Lge_NonAero!$B:$B,0))),1,0))</f>
        <v/>
      </c>
      <c r="C619" s="5" t="str">
        <f>IF($G619="","",IF(AND(LEFT($O619,3)="Wom",ISERROR(MATCH($N619,Lge_Women!$B:$B,0))),1,0))</f>
        <v/>
      </c>
      <c r="D619" s="2" t="str">
        <f>IF($G619="","",IF(AND(OR($O619="Vet",$O619="Woman Vet"),ISERROR(MATCH($N619,Lge_Vets!$B:$B,0))),1,0))</f>
        <v/>
      </c>
      <c r="E619" s="2" t="str">
        <f>IF($G619="","",IF(AND(OR($O619="Junior",$O619="Woman Junior",$O619="Youth",$O619="Woman Youth"),ISERROR(MATCH($N619,Lge_Junior!$B:$B,0))),1,0))</f>
        <v/>
      </c>
      <c r="F619" s="2" t="str">
        <f>IF($G619="","",IF(AND(LEFT($O619,3)="You",ISERROR(MATCH($N619,Lge_Youth!$B:$B,0))),1,0))</f>
        <v/>
      </c>
      <c r="G619" s="3"/>
      <c r="H619" s="3"/>
      <c r="I619" s="3"/>
      <c r="J619" s="3"/>
      <c r="K619" s="6"/>
      <c r="L619" s="4"/>
      <c r="M619" s="4"/>
      <c r="N619" s="8"/>
      <c r="O619" s="8"/>
      <c r="P619" s="9"/>
      <c r="Q619" s="8"/>
      <c r="R619" s="8"/>
      <c r="S619" s="9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10"/>
    </row>
    <row r="620" spans="1:39" x14ac:dyDescent="0.2">
      <c r="A620" s="2" t="str">
        <f>IF($G620="","",IF(ISERROR(MATCH($N620,Lge_Scratch!$B:$B,0)),1,0))</f>
        <v/>
      </c>
      <c r="B620" s="2" t="str">
        <f>IF($G620="","",IF(AND(LEFT($Q620,8)="Non-aero",ISERROR(MATCH($N620,Lge_NonAero!$B:$B,0))),1,0))</f>
        <v/>
      </c>
      <c r="C620" s="5" t="str">
        <f>IF($G620="","",IF(AND(LEFT($O620,3)="Wom",ISERROR(MATCH($N620,Lge_Women!$B:$B,0))),1,0))</f>
        <v/>
      </c>
      <c r="D620" s="2" t="str">
        <f>IF($G620="","",IF(AND(OR($O620="Vet",$O620="Woman Vet"),ISERROR(MATCH($N620,Lge_Vets!$B:$B,0))),1,0))</f>
        <v/>
      </c>
      <c r="E620" s="2" t="str">
        <f>IF($G620="","",IF(AND(OR($O620="Junior",$O620="Woman Junior",$O620="Youth",$O620="Woman Youth"),ISERROR(MATCH($N620,Lge_Junior!$B:$B,0))),1,0))</f>
        <v/>
      </c>
      <c r="F620" s="2" t="str">
        <f>IF($G620="","",IF(AND(LEFT($O620,3)="You",ISERROR(MATCH($N620,Lge_Youth!$B:$B,0))),1,0))</f>
        <v/>
      </c>
      <c r="G620" s="3"/>
      <c r="H620" s="3"/>
      <c r="I620" s="3"/>
      <c r="J620" s="3"/>
      <c r="K620" s="6"/>
      <c r="L620" s="4"/>
      <c r="M620" s="4"/>
      <c r="N620" s="8"/>
      <c r="O620" s="8"/>
      <c r="P620" s="9"/>
      <c r="Q620" s="8"/>
      <c r="R620" s="8"/>
      <c r="S620" s="9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10"/>
    </row>
    <row r="621" spans="1:39" x14ac:dyDescent="0.2">
      <c r="A621" s="2" t="str">
        <f>IF($G621="","",IF(ISERROR(MATCH($N621,Lge_Scratch!$B:$B,0)),1,0))</f>
        <v/>
      </c>
      <c r="B621" s="2" t="str">
        <f>IF($G621="","",IF(AND(LEFT($Q621,8)="Non-aero",ISERROR(MATCH($N621,Lge_NonAero!$B:$B,0))),1,0))</f>
        <v/>
      </c>
      <c r="C621" s="5" t="str">
        <f>IF($G621="","",IF(AND(LEFT($O621,3)="Wom",ISERROR(MATCH($N621,Lge_Women!$B:$B,0))),1,0))</f>
        <v/>
      </c>
      <c r="D621" s="2" t="str">
        <f>IF($G621="","",IF(AND(OR($O621="Vet",$O621="Woman Vet"),ISERROR(MATCH($N621,Lge_Vets!$B:$B,0))),1,0))</f>
        <v/>
      </c>
      <c r="E621" s="2" t="str">
        <f>IF($G621="","",IF(AND(OR($O621="Junior",$O621="Woman Junior",$O621="Youth",$O621="Woman Youth"),ISERROR(MATCH($N621,Lge_Junior!$B:$B,0))),1,0))</f>
        <v/>
      </c>
      <c r="F621" s="2" t="str">
        <f>IF($G621="","",IF(AND(LEFT($O621,3)="You",ISERROR(MATCH($N621,Lge_Youth!$B:$B,0))),1,0))</f>
        <v/>
      </c>
      <c r="G621" s="3"/>
      <c r="H621" s="3"/>
      <c r="I621" s="3"/>
      <c r="J621" s="3"/>
      <c r="K621" s="6"/>
      <c r="L621" s="4"/>
      <c r="M621" s="4"/>
      <c r="N621" s="8"/>
      <c r="O621" s="8"/>
      <c r="P621" s="9"/>
      <c r="Q621" s="8"/>
      <c r="R621" s="8"/>
      <c r="S621" s="9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10"/>
    </row>
    <row r="622" spans="1:39" x14ac:dyDescent="0.2">
      <c r="A622" s="2" t="str">
        <f>IF($G622="","",IF(ISERROR(MATCH($N622,Lge_Scratch!$B:$B,0)),1,0))</f>
        <v/>
      </c>
      <c r="B622" s="2" t="str">
        <f>IF($G622="","",IF(AND(LEFT($Q622,8)="Non-aero",ISERROR(MATCH($N622,Lge_NonAero!$B:$B,0))),1,0))</f>
        <v/>
      </c>
      <c r="C622" s="5" t="str">
        <f>IF($G622="","",IF(AND(LEFT($O622,3)="Wom",ISERROR(MATCH($N622,Lge_Women!$B:$B,0))),1,0))</f>
        <v/>
      </c>
      <c r="D622" s="2" t="str">
        <f>IF($G622="","",IF(AND(OR($O622="Vet",$O622="Woman Vet"),ISERROR(MATCH($N622,Lge_Vets!$B:$B,0))),1,0))</f>
        <v/>
      </c>
      <c r="E622" s="2" t="str">
        <f>IF($G622="","",IF(AND(OR($O622="Junior",$O622="Woman Junior",$O622="Youth",$O622="Woman Youth"),ISERROR(MATCH($N622,Lge_Junior!$B:$B,0))),1,0))</f>
        <v/>
      </c>
      <c r="F622" s="2" t="str">
        <f>IF($G622="","",IF(AND(LEFT($O622,3)="You",ISERROR(MATCH($N622,Lge_Youth!$B:$B,0))),1,0))</f>
        <v/>
      </c>
      <c r="G622" s="3"/>
      <c r="H622" s="3"/>
      <c r="I622" s="3"/>
      <c r="J622" s="3"/>
      <c r="K622" s="6"/>
      <c r="L622" s="4"/>
      <c r="M622" s="4"/>
      <c r="N622" s="8"/>
      <c r="O622" s="8"/>
      <c r="P622" s="9"/>
      <c r="Q622" s="8"/>
      <c r="R622" s="8"/>
      <c r="S622" s="9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10"/>
    </row>
    <row r="623" spans="1:39" x14ac:dyDescent="0.2">
      <c r="A623" s="2" t="str">
        <f>IF($G623="","",IF(ISERROR(MATCH($N623,Lge_Scratch!$B:$B,0)),1,0))</f>
        <v/>
      </c>
      <c r="B623" s="2" t="str">
        <f>IF($G623="","",IF(AND(LEFT($Q623,8)="Non-aero",ISERROR(MATCH($N623,Lge_NonAero!$B:$B,0))),1,0))</f>
        <v/>
      </c>
      <c r="C623" s="5" t="str">
        <f>IF($G623="","",IF(AND(LEFT($O623,3)="Wom",ISERROR(MATCH($N623,Lge_Women!$B:$B,0))),1,0))</f>
        <v/>
      </c>
      <c r="D623" s="2" t="str">
        <f>IF($G623="","",IF(AND(OR($O623="Vet",$O623="Woman Vet"),ISERROR(MATCH($N623,Lge_Vets!$B:$B,0))),1,0))</f>
        <v/>
      </c>
      <c r="E623" s="2" t="str">
        <f>IF($G623="","",IF(AND(OR($O623="Junior",$O623="Woman Junior",$O623="Youth",$O623="Woman Youth"),ISERROR(MATCH($N623,Lge_Junior!$B:$B,0))),1,0))</f>
        <v/>
      </c>
      <c r="F623" s="2" t="str">
        <f>IF($G623="","",IF(AND(LEFT($O623,3)="You",ISERROR(MATCH($N623,Lge_Youth!$B:$B,0))),1,0))</f>
        <v/>
      </c>
      <c r="G623" s="3"/>
      <c r="H623" s="3"/>
      <c r="I623" s="3"/>
      <c r="J623" s="3"/>
      <c r="K623" s="6"/>
      <c r="L623" s="4"/>
      <c r="M623" s="4"/>
      <c r="N623" s="8"/>
      <c r="O623" s="8"/>
      <c r="P623" s="9"/>
      <c r="Q623" s="8"/>
      <c r="R623" s="8"/>
      <c r="S623" s="9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10"/>
    </row>
    <row r="624" spans="1:39" x14ac:dyDescent="0.2">
      <c r="A624" s="2" t="str">
        <f>IF($G624="","",IF(ISERROR(MATCH($N624,Lge_Scratch!$B:$B,0)),1,0))</f>
        <v/>
      </c>
      <c r="B624" s="2" t="str">
        <f>IF($G624="","",IF(AND(LEFT($Q624,8)="Non-aero",ISERROR(MATCH($N624,Lge_NonAero!$B:$B,0))),1,0))</f>
        <v/>
      </c>
      <c r="C624" s="5" t="str">
        <f>IF($G624="","",IF(AND(LEFT($O624,3)="Wom",ISERROR(MATCH($N624,Lge_Women!$B:$B,0))),1,0))</f>
        <v/>
      </c>
      <c r="D624" s="2" t="str">
        <f>IF($G624="","",IF(AND(OR($O624="Vet",$O624="Woman Vet"),ISERROR(MATCH($N624,Lge_Vets!$B:$B,0))),1,0))</f>
        <v/>
      </c>
      <c r="E624" s="2" t="str">
        <f>IF($G624="","",IF(AND(OR($O624="Junior",$O624="Woman Junior",$O624="Youth",$O624="Woman Youth"),ISERROR(MATCH($N624,Lge_Junior!$B:$B,0))),1,0))</f>
        <v/>
      </c>
      <c r="F624" s="2" t="str">
        <f>IF($G624="","",IF(AND(LEFT($O624,3)="You",ISERROR(MATCH($N624,Lge_Youth!$B:$B,0))),1,0))</f>
        <v/>
      </c>
      <c r="G624" s="3"/>
      <c r="H624" s="3"/>
      <c r="I624" s="3"/>
      <c r="J624" s="3"/>
      <c r="K624" s="6"/>
      <c r="L624" s="4"/>
      <c r="M624" s="4"/>
      <c r="N624" s="8"/>
      <c r="O624" s="8"/>
      <c r="P624" s="9"/>
      <c r="Q624" s="8"/>
      <c r="R624" s="8"/>
      <c r="S624" s="9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10"/>
    </row>
    <row r="625" spans="1:39" x14ac:dyDescent="0.2">
      <c r="A625" s="2" t="str">
        <f>IF($G625="","",IF(ISERROR(MATCH($N625,Lge_Scratch!$B:$B,0)),1,0))</f>
        <v/>
      </c>
      <c r="B625" s="2" t="str">
        <f>IF($G625="","",IF(AND(LEFT($Q625,8)="Non-aero",ISERROR(MATCH($N625,Lge_NonAero!$B:$B,0))),1,0))</f>
        <v/>
      </c>
      <c r="C625" s="5" t="str">
        <f>IF($G625="","",IF(AND(LEFT($O625,3)="Wom",ISERROR(MATCH($N625,Lge_Women!$B:$B,0))),1,0))</f>
        <v/>
      </c>
      <c r="D625" s="2" t="str">
        <f>IF($G625="","",IF(AND(OR($O625="Vet",$O625="Woman Vet"),ISERROR(MATCH($N625,Lge_Vets!$B:$B,0))),1,0))</f>
        <v/>
      </c>
      <c r="E625" s="2" t="str">
        <f>IF($G625="","",IF(AND(OR($O625="Junior",$O625="Woman Junior",$O625="Youth",$O625="Woman Youth"),ISERROR(MATCH($N625,Lge_Junior!$B:$B,0))),1,0))</f>
        <v/>
      </c>
      <c r="F625" s="2" t="str">
        <f>IF($G625="","",IF(AND(LEFT($O625,3)="You",ISERROR(MATCH($N625,Lge_Youth!$B:$B,0))),1,0))</f>
        <v/>
      </c>
      <c r="G625" s="3"/>
      <c r="H625" s="3"/>
      <c r="I625" s="3"/>
      <c r="J625" s="3"/>
      <c r="K625" s="6"/>
      <c r="L625" s="4"/>
      <c r="M625" s="4"/>
      <c r="N625" s="8"/>
      <c r="O625" s="8"/>
      <c r="P625" s="9"/>
      <c r="Q625" s="8"/>
      <c r="R625" s="8"/>
      <c r="S625" s="9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10"/>
    </row>
    <row r="626" spans="1:39" x14ac:dyDescent="0.2">
      <c r="A626" s="2" t="str">
        <f>IF($G626="","",IF(ISERROR(MATCH($N626,Lge_Scratch!$B:$B,0)),1,0))</f>
        <v/>
      </c>
      <c r="B626" s="2" t="str">
        <f>IF($G626="","",IF(AND(LEFT($Q626,8)="Non-aero",ISERROR(MATCH($N626,Lge_NonAero!$B:$B,0))),1,0))</f>
        <v/>
      </c>
      <c r="C626" s="5" t="str">
        <f>IF($G626="","",IF(AND(LEFT($O626,3)="Wom",ISERROR(MATCH($N626,Lge_Women!$B:$B,0))),1,0))</f>
        <v/>
      </c>
      <c r="D626" s="2" t="str">
        <f>IF($G626="","",IF(AND(OR($O626="Vet",$O626="Woman Vet"),ISERROR(MATCH($N626,Lge_Vets!$B:$B,0))),1,0))</f>
        <v/>
      </c>
      <c r="E626" s="2" t="str">
        <f>IF($G626="","",IF(AND(OR($O626="Junior",$O626="Woman Junior",$O626="Youth",$O626="Woman Youth"),ISERROR(MATCH($N626,Lge_Junior!$B:$B,0))),1,0))</f>
        <v/>
      </c>
      <c r="F626" s="2" t="str">
        <f>IF($G626="","",IF(AND(LEFT($O626,3)="You",ISERROR(MATCH($N626,Lge_Youth!$B:$B,0))),1,0))</f>
        <v/>
      </c>
      <c r="G626" s="3"/>
      <c r="H626" s="3"/>
      <c r="I626" s="3"/>
      <c r="J626" s="3"/>
      <c r="K626" s="6"/>
      <c r="L626" s="4"/>
      <c r="M626" s="4"/>
      <c r="N626" s="8"/>
      <c r="O626" s="8"/>
      <c r="P626" s="9"/>
      <c r="Q626" s="8"/>
      <c r="R626" s="8"/>
      <c r="S626" s="9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10"/>
    </row>
    <row r="627" spans="1:39" x14ac:dyDescent="0.2">
      <c r="A627" s="2" t="str">
        <f>IF($G627="","",IF(ISERROR(MATCH($N627,Lge_Scratch!$B:$B,0)),1,0))</f>
        <v/>
      </c>
      <c r="B627" s="2" t="str">
        <f>IF($G627="","",IF(AND(LEFT($Q627,8)="Non-aero",ISERROR(MATCH($N627,Lge_NonAero!$B:$B,0))),1,0))</f>
        <v/>
      </c>
      <c r="C627" s="5" t="str">
        <f>IF($G627="","",IF(AND(LEFT($O627,3)="Wom",ISERROR(MATCH($N627,Lge_Women!$B:$B,0))),1,0))</f>
        <v/>
      </c>
      <c r="D627" s="2" t="str">
        <f>IF($G627="","",IF(AND(OR($O627="Vet",$O627="Woman Vet"),ISERROR(MATCH($N627,Lge_Vets!$B:$B,0))),1,0))</f>
        <v/>
      </c>
      <c r="E627" s="2" t="str">
        <f>IF($G627="","",IF(AND(OR($O627="Junior",$O627="Woman Junior",$O627="Youth",$O627="Woman Youth"),ISERROR(MATCH($N627,Lge_Junior!$B:$B,0))),1,0))</f>
        <v/>
      </c>
      <c r="F627" s="2" t="str">
        <f>IF($G627="","",IF(AND(LEFT($O627,3)="You",ISERROR(MATCH($N627,Lge_Youth!$B:$B,0))),1,0))</f>
        <v/>
      </c>
      <c r="G627" s="3"/>
      <c r="H627" s="3"/>
      <c r="I627" s="3"/>
      <c r="J627" s="3"/>
      <c r="K627" s="6"/>
      <c r="L627" s="4"/>
      <c r="M627" s="4"/>
      <c r="N627" s="8"/>
      <c r="O627" s="8"/>
      <c r="P627" s="9"/>
      <c r="Q627" s="8"/>
      <c r="R627" s="8"/>
      <c r="S627" s="9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10"/>
    </row>
    <row r="628" spans="1:39" x14ac:dyDescent="0.2">
      <c r="A628" s="2" t="str">
        <f>IF($G628="","",IF(ISERROR(MATCH($N628,Lge_Scratch!$B:$B,0)),1,0))</f>
        <v/>
      </c>
      <c r="B628" s="2" t="str">
        <f>IF($G628="","",IF(AND(LEFT($Q628,8)="Non-aero",ISERROR(MATCH($N628,Lge_NonAero!$B:$B,0))),1,0))</f>
        <v/>
      </c>
      <c r="C628" s="5" t="str">
        <f>IF($G628="","",IF(AND(LEFT($O628,3)="Wom",ISERROR(MATCH($N628,Lge_Women!$B:$B,0))),1,0))</f>
        <v/>
      </c>
      <c r="D628" s="2" t="str">
        <f>IF($G628="","",IF(AND(OR($O628="Vet",$O628="Woman Vet"),ISERROR(MATCH($N628,Lge_Vets!$B:$B,0))),1,0))</f>
        <v/>
      </c>
      <c r="E628" s="2" t="str">
        <f>IF($G628="","",IF(AND(OR($O628="Junior",$O628="Woman Junior",$O628="Youth",$O628="Woman Youth"),ISERROR(MATCH($N628,Lge_Junior!$B:$B,0))),1,0))</f>
        <v/>
      </c>
      <c r="F628" s="2" t="str">
        <f>IF($G628="","",IF(AND(LEFT($O628,3)="You",ISERROR(MATCH($N628,Lge_Youth!$B:$B,0))),1,0))</f>
        <v/>
      </c>
      <c r="G628" s="3"/>
      <c r="H628" s="3"/>
      <c r="I628" s="3"/>
      <c r="J628" s="3"/>
      <c r="K628" s="6"/>
      <c r="L628" s="4"/>
      <c r="M628" s="4"/>
      <c r="N628" s="8"/>
      <c r="O628" s="8"/>
      <c r="P628" s="9"/>
      <c r="Q628" s="8"/>
      <c r="R628" s="8"/>
      <c r="S628" s="9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10"/>
    </row>
    <row r="629" spans="1:39" x14ac:dyDescent="0.2">
      <c r="A629" s="2" t="str">
        <f>IF($G629="","",IF(ISERROR(MATCH($N629,Lge_Scratch!$B:$B,0)),1,0))</f>
        <v/>
      </c>
      <c r="B629" s="2" t="str">
        <f>IF($G629="","",IF(AND(LEFT($Q629,8)="Non-aero",ISERROR(MATCH($N629,Lge_NonAero!$B:$B,0))),1,0))</f>
        <v/>
      </c>
      <c r="C629" s="5" t="str">
        <f>IF($G629="","",IF(AND(LEFT($O629,3)="Wom",ISERROR(MATCH($N629,Lge_Women!$B:$B,0))),1,0))</f>
        <v/>
      </c>
      <c r="D629" s="2" t="str">
        <f>IF($G629="","",IF(AND(OR($O629="Vet",$O629="Woman Vet"),ISERROR(MATCH($N629,Lge_Vets!$B:$B,0))),1,0))</f>
        <v/>
      </c>
      <c r="E629" s="2" t="str">
        <f>IF($G629="","",IF(AND(OR($O629="Junior",$O629="Woman Junior",$O629="Youth",$O629="Woman Youth"),ISERROR(MATCH($N629,Lge_Junior!$B:$B,0))),1,0))</f>
        <v/>
      </c>
      <c r="F629" s="2" t="str">
        <f>IF($G629="","",IF(AND(LEFT($O629,3)="You",ISERROR(MATCH($N629,Lge_Youth!$B:$B,0))),1,0))</f>
        <v/>
      </c>
      <c r="G629" s="3"/>
      <c r="H629" s="3"/>
      <c r="I629" s="3"/>
      <c r="J629" s="3"/>
      <c r="K629" s="6"/>
      <c r="L629" s="4"/>
      <c r="M629" s="4"/>
      <c r="N629" s="8"/>
      <c r="O629" s="8"/>
      <c r="P629" s="9"/>
      <c r="Q629" s="8"/>
      <c r="R629" s="8"/>
      <c r="S629" s="9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10"/>
    </row>
    <row r="630" spans="1:39" x14ac:dyDescent="0.2">
      <c r="A630" s="2" t="str">
        <f>IF($G630="","",IF(ISERROR(MATCH($N630,Lge_Scratch!$B:$B,0)),1,0))</f>
        <v/>
      </c>
      <c r="B630" s="2" t="str">
        <f>IF($G630="","",IF(AND(LEFT($Q630,8)="Non-aero",ISERROR(MATCH($N630,Lge_NonAero!$B:$B,0))),1,0))</f>
        <v/>
      </c>
      <c r="C630" s="5" t="str">
        <f>IF($G630="","",IF(AND(LEFT($O630,3)="Wom",ISERROR(MATCH($N630,Lge_Women!$B:$B,0))),1,0))</f>
        <v/>
      </c>
      <c r="D630" s="2" t="str">
        <f>IF($G630="","",IF(AND(OR($O630="Vet",$O630="Woman Vet"),ISERROR(MATCH($N630,Lge_Vets!$B:$B,0))),1,0))</f>
        <v/>
      </c>
      <c r="E630" s="2" t="str">
        <f>IF($G630="","",IF(AND(OR($O630="Junior",$O630="Woman Junior",$O630="Youth",$O630="Woman Youth"),ISERROR(MATCH($N630,Lge_Junior!$B:$B,0))),1,0))</f>
        <v/>
      </c>
      <c r="F630" s="2" t="str">
        <f>IF($G630="","",IF(AND(LEFT($O630,3)="You",ISERROR(MATCH($N630,Lge_Youth!$B:$B,0))),1,0))</f>
        <v/>
      </c>
      <c r="G630" s="3"/>
      <c r="H630" s="3"/>
      <c r="I630" s="3"/>
      <c r="J630" s="3"/>
      <c r="K630" s="6"/>
      <c r="L630" s="4"/>
      <c r="M630" s="4"/>
      <c r="N630" s="8"/>
      <c r="O630" s="8"/>
      <c r="P630" s="9"/>
      <c r="Q630" s="8"/>
      <c r="R630" s="8"/>
      <c r="S630" s="9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10"/>
    </row>
    <row r="631" spans="1:39" x14ac:dyDescent="0.2">
      <c r="A631" s="2" t="str">
        <f>IF($G631="","",IF(ISERROR(MATCH($N631,Lge_Scratch!$B:$B,0)),1,0))</f>
        <v/>
      </c>
      <c r="B631" s="2" t="str">
        <f>IF($G631="","",IF(AND(LEFT($Q631,8)="Non-aero",ISERROR(MATCH($N631,Lge_NonAero!$B:$B,0))),1,0))</f>
        <v/>
      </c>
      <c r="C631" s="5" t="str">
        <f>IF($G631="","",IF(AND(LEFT($O631,3)="Wom",ISERROR(MATCH($N631,Lge_Women!$B:$B,0))),1,0))</f>
        <v/>
      </c>
      <c r="D631" s="2" t="str">
        <f>IF($G631="","",IF(AND(OR($O631="Vet",$O631="Woman Vet"),ISERROR(MATCH($N631,Lge_Vets!$B:$B,0))),1,0))</f>
        <v/>
      </c>
      <c r="E631" s="2" t="str">
        <f>IF($G631="","",IF(AND(OR($O631="Junior",$O631="Woman Junior",$O631="Youth",$O631="Woman Youth"),ISERROR(MATCH($N631,Lge_Junior!$B:$B,0))),1,0))</f>
        <v/>
      </c>
      <c r="F631" s="2" t="str">
        <f>IF($G631="","",IF(AND(LEFT($O631,3)="You",ISERROR(MATCH($N631,Lge_Youth!$B:$B,0))),1,0))</f>
        <v/>
      </c>
      <c r="G631" s="3"/>
      <c r="H631" s="3"/>
      <c r="I631" s="3"/>
      <c r="J631" s="3"/>
      <c r="K631" s="6"/>
      <c r="L631" s="4"/>
      <c r="M631" s="4"/>
      <c r="N631" s="8"/>
      <c r="O631" s="8"/>
      <c r="P631" s="9"/>
      <c r="Q631" s="8"/>
      <c r="R631" s="8"/>
      <c r="S631" s="9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10"/>
    </row>
    <row r="632" spans="1:39" x14ac:dyDescent="0.2">
      <c r="A632" s="2" t="str">
        <f>IF($G632="","",IF(ISERROR(MATCH($N632,Lge_Scratch!$B:$B,0)),1,0))</f>
        <v/>
      </c>
      <c r="B632" s="2" t="str">
        <f>IF($G632="","",IF(AND(LEFT($Q632,8)="Non-aero",ISERROR(MATCH($N632,Lge_NonAero!$B:$B,0))),1,0))</f>
        <v/>
      </c>
      <c r="C632" s="5" t="str">
        <f>IF($G632="","",IF(AND(LEFT($O632,3)="Wom",ISERROR(MATCH($N632,Lge_Women!$B:$B,0))),1,0))</f>
        <v/>
      </c>
      <c r="D632" s="2" t="str">
        <f>IF($G632="","",IF(AND(OR($O632="Vet",$O632="Woman Vet"),ISERROR(MATCH($N632,Lge_Vets!$B:$B,0))),1,0))</f>
        <v/>
      </c>
      <c r="E632" s="2" t="str">
        <f>IF($G632="","",IF(AND(OR($O632="Junior",$O632="Woman Junior",$O632="Youth",$O632="Woman Youth"),ISERROR(MATCH($N632,Lge_Junior!$B:$B,0))),1,0))</f>
        <v/>
      </c>
      <c r="F632" s="2" t="str">
        <f>IF($G632="","",IF(AND(LEFT($O632,3)="You",ISERROR(MATCH($N632,Lge_Youth!$B:$B,0))),1,0))</f>
        <v/>
      </c>
      <c r="G632" s="3"/>
      <c r="H632" s="3"/>
      <c r="I632" s="3"/>
      <c r="J632" s="3"/>
      <c r="K632" s="6"/>
      <c r="L632" s="4"/>
      <c r="M632" s="4"/>
      <c r="N632" s="8"/>
      <c r="O632" s="8"/>
      <c r="P632" s="9"/>
      <c r="Q632" s="8"/>
      <c r="R632" s="8"/>
      <c r="S632" s="9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10"/>
    </row>
    <row r="633" spans="1:39" x14ac:dyDescent="0.2">
      <c r="A633" s="2" t="str">
        <f>IF($G633="","",IF(ISERROR(MATCH($N633,Lge_Scratch!$B:$B,0)),1,0))</f>
        <v/>
      </c>
      <c r="B633" s="2" t="str">
        <f>IF($G633="","",IF(AND(LEFT($Q633,8)="Non-aero",ISERROR(MATCH($N633,Lge_NonAero!$B:$B,0))),1,0))</f>
        <v/>
      </c>
      <c r="C633" s="5" t="str">
        <f>IF($G633="","",IF(AND(LEFT($O633,3)="Wom",ISERROR(MATCH($N633,Lge_Women!$B:$B,0))),1,0))</f>
        <v/>
      </c>
      <c r="D633" s="2" t="str">
        <f>IF($G633="","",IF(AND(OR($O633="Vet",$O633="Woman Vet"),ISERROR(MATCH($N633,Lge_Vets!$B:$B,0))),1,0))</f>
        <v/>
      </c>
      <c r="E633" s="2" t="str">
        <f>IF($G633="","",IF(AND(OR($O633="Junior",$O633="Woman Junior",$O633="Youth",$O633="Woman Youth"),ISERROR(MATCH($N633,Lge_Junior!$B:$B,0))),1,0))</f>
        <v/>
      </c>
      <c r="F633" s="2" t="str">
        <f>IF($G633="","",IF(AND(LEFT($O633,3)="You",ISERROR(MATCH($N633,Lge_Youth!$B:$B,0))),1,0))</f>
        <v/>
      </c>
      <c r="G633" s="3"/>
      <c r="H633" s="3"/>
      <c r="I633" s="3"/>
      <c r="J633" s="3"/>
      <c r="K633" s="6"/>
      <c r="L633" s="4"/>
      <c r="M633" s="4"/>
      <c r="N633" s="8"/>
      <c r="O633" s="8"/>
      <c r="P633" s="9"/>
      <c r="Q633" s="8"/>
      <c r="R633" s="8"/>
      <c r="S633" s="9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10"/>
    </row>
    <row r="634" spans="1:39" x14ac:dyDescent="0.2">
      <c r="A634" s="2" t="str">
        <f>IF($G634="","",IF(ISERROR(MATCH($N634,Lge_Scratch!$B:$B,0)),1,0))</f>
        <v/>
      </c>
      <c r="B634" s="2" t="str">
        <f>IF($G634="","",IF(AND(LEFT($Q634,8)="Non-aero",ISERROR(MATCH($N634,Lge_NonAero!$B:$B,0))),1,0))</f>
        <v/>
      </c>
      <c r="C634" s="5" t="str">
        <f>IF($G634="","",IF(AND(LEFT($O634,3)="Wom",ISERROR(MATCH($N634,Lge_Women!$B:$B,0))),1,0))</f>
        <v/>
      </c>
      <c r="D634" s="2" t="str">
        <f>IF($G634="","",IF(AND(OR($O634="Vet",$O634="Woman Vet"),ISERROR(MATCH($N634,Lge_Vets!$B:$B,0))),1,0))</f>
        <v/>
      </c>
      <c r="E634" s="2" t="str">
        <f>IF($G634="","",IF(AND(OR($O634="Junior",$O634="Woman Junior",$O634="Youth",$O634="Woman Youth"),ISERROR(MATCH($N634,Lge_Junior!$B:$B,0))),1,0))</f>
        <v/>
      </c>
      <c r="F634" s="2" t="str">
        <f>IF($G634="","",IF(AND(LEFT($O634,3)="You",ISERROR(MATCH($N634,Lge_Youth!$B:$B,0))),1,0))</f>
        <v/>
      </c>
      <c r="G634" s="3"/>
      <c r="H634" s="3"/>
      <c r="I634" s="3"/>
      <c r="J634" s="3"/>
      <c r="K634" s="6"/>
      <c r="L634" s="4"/>
      <c r="M634" s="4"/>
      <c r="N634" s="8"/>
      <c r="O634" s="8"/>
      <c r="P634" s="9"/>
      <c r="Q634" s="8"/>
      <c r="R634" s="8"/>
      <c r="S634" s="9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10"/>
    </row>
    <row r="635" spans="1:39" x14ac:dyDescent="0.2">
      <c r="A635" s="2" t="str">
        <f>IF($G635="","",IF(ISERROR(MATCH($N635,Lge_Scratch!$B:$B,0)),1,0))</f>
        <v/>
      </c>
      <c r="B635" s="2" t="str">
        <f>IF($G635="","",IF(AND(LEFT($Q635,8)="Non-aero",ISERROR(MATCH($N635,Lge_NonAero!$B:$B,0))),1,0))</f>
        <v/>
      </c>
      <c r="C635" s="5" t="str">
        <f>IF($G635="","",IF(AND(LEFT($O635,3)="Wom",ISERROR(MATCH($N635,Lge_Women!$B:$B,0))),1,0))</f>
        <v/>
      </c>
      <c r="D635" s="2" t="str">
        <f>IF($G635="","",IF(AND(OR($O635="Vet",$O635="Woman Vet"),ISERROR(MATCH($N635,Lge_Vets!$B:$B,0))),1,0))</f>
        <v/>
      </c>
      <c r="E635" s="2" t="str">
        <f>IF($G635="","",IF(AND(OR($O635="Junior",$O635="Woman Junior",$O635="Youth",$O635="Woman Youth"),ISERROR(MATCH($N635,Lge_Junior!$B:$B,0))),1,0))</f>
        <v/>
      </c>
      <c r="F635" s="2" t="str">
        <f>IF($G635="","",IF(AND(LEFT($O635,3)="You",ISERROR(MATCH($N635,Lge_Youth!$B:$B,0))),1,0))</f>
        <v/>
      </c>
      <c r="G635" s="3"/>
      <c r="H635" s="3"/>
      <c r="I635" s="3"/>
      <c r="J635" s="3"/>
      <c r="K635" s="6"/>
      <c r="L635" s="4"/>
      <c r="M635" s="4"/>
      <c r="N635" s="8"/>
      <c r="O635" s="8"/>
      <c r="P635" s="9"/>
      <c r="Q635" s="8"/>
      <c r="R635" s="8"/>
      <c r="S635" s="9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10"/>
    </row>
    <row r="636" spans="1:39" x14ac:dyDescent="0.2">
      <c r="A636" s="2" t="str">
        <f>IF($G636="","",IF(ISERROR(MATCH($N636,Lge_Scratch!$B:$B,0)),1,0))</f>
        <v/>
      </c>
      <c r="B636" s="2" t="str">
        <f>IF($G636="","",IF(AND(LEFT($Q636,8)="Non-aero",ISERROR(MATCH($N636,Lge_NonAero!$B:$B,0))),1,0))</f>
        <v/>
      </c>
      <c r="C636" s="5" t="str">
        <f>IF($G636="","",IF(AND(LEFT($O636,3)="Wom",ISERROR(MATCH($N636,Lge_Women!$B:$B,0))),1,0))</f>
        <v/>
      </c>
      <c r="D636" s="2" t="str">
        <f>IF($G636="","",IF(AND(OR($O636="Vet",$O636="Woman Vet"),ISERROR(MATCH($N636,Lge_Vets!$B:$B,0))),1,0))</f>
        <v/>
      </c>
      <c r="E636" s="2" t="str">
        <f>IF($G636="","",IF(AND(OR($O636="Junior",$O636="Woman Junior",$O636="Youth",$O636="Woman Youth"),ISERROR(MATCH($N636,Lge_Junior!$B:$B,0))),1,0))</f>
        <v/>
      </c>
      <c r="F636" s="2" t="str">
        <f>IF($G636="","",IF(AND(LEFT($O636,3)="You",ISERROR(MATCH($N636,Lge_Youth!$B:$B,0))),1,0))</f>
        <v/>
      </c>
      <c r="G636" s="3"/>
      <c r="H636" s="3"/>
      <c r="I636" s="3"/>
      <c r="J636" s="3"/>
      <c r="K636" s="6"/>
      <c r="L636" s="4"/>
      <c r="M636" s="4"/>
      <c r="N636" s="8"/>
      <c r="O636" s="8"/>
      <c r="P636" s="9"/>
      <c r="Q636" s="8"/>
      <c r="R636" s="8"/>
      <c r="S636" s="9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10"/>
    </row>
    <row r="637" spans="1:39" x14ac:dyDescent="0.2">
      <c r="A637" s="2" t="str">
        <f>IF($G637="","",IF(ISERROR(MATCH($N637,Lge_Scratch!$B:$B,0)),1,0))</f>
        <v/>
      </c>
      <c r="B637" s="2" t="str">
        <f>IF($G637="","",IF(AND(LEFT($Q637,8)="Non-aero",ISERROR(MATCH($N637,Lge_NonAero!$B:$B,0))),1,0))</f>
        <v/>
      </c>
      <c r="C637" s="5" t="str">
        <f>IF($G637="","",IF(AND(LEFT($O637,3)="Wom",ISERROR(MATCH($N637,Lge_Women!$B:$B,0))),1,0))</f>
        <v/>
      </c>
      <c r="D637" s="2" t="str">
        <f>IF($G637="","",IF(AND(OR($O637="Vet",$O637="Woman Vet"),ISERROR(MATCH($N637,Lge_Vets!$B:$B,0))),1,0))</f>
        <v/>
      </c>
      <c r="E637" s="2" t="str">
        <f>IF($G637="","",IF(AND(OR($O637="Junior",$O637="Woman Junior",$O637="Youth",$O637="Woman Youth"),ISERROR(MATCH($N637,Lge_Junior!$B:$B,0))),1,0))</f>
        <v/>
      </c>
      <c r="F637" s="2" t="str">
        <f>IF($G637="","",IF(AND(LEFT($O637,3)="You",ISERROR(MATCH($N637,Lge_Youth!$B:$B,0))),1,0))</f>
        <v/>
      </c>
      <c r="G637" s="3"/>
      <c r="H637" s="3"/>
      <c r="I637" s="3"/>
      <c r="J637" s="3"/>
      <c r="K637" s="6"/>
      <c r="L637" s="4"/>
      <c r="M637" s="4"/>
      <c r="N637" s="8"/>
      <c r="O637" s="8"/>
      <c r="P637" s="9"/>
      <c r="Q637" s="8"/>
      <c r="R637" s="8"/>
      <c r="S637" s="9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10"/>
    </row>
    <row r="638" spans="1:39" x14ac:dyDescent="0.2">
      <c r="A638" s="2" t="str">
        <f>IF($G638="","",IF(ISERROR(MATCH($N638,Lge_Scratch!$B:$B,0)),1,0))</f>
        <v/>
      </c>
      <c r="B638" s="2" t="str">
        <f>IF($G638="","",IF(AND(LEFT($Q638,8)="Non-aero",ISERROR(MATCH($N638,Lge_NonAero!$B:$B,0))),1,0))</f>
        <v/>
      </c>
      <c r="C638" s="5" t="str">
        <f>IF($G638="","",IF(AND(LEFT($O638,3)="Wom",ISERROR(MATCH($N638,Lge_Women!$B:$B,0))),1,0))</f>
        <v/>
      </c>
      <c r="D638" s="2" t="str">
        <f>IF($G638="","",IF(AND(OR($O638="Vet",$O638="Woman Vet"),ISERROR(MATCH($N638,Lge_Vets!$B:$B,0))),1,0))</f>
        <v/>
      </c>
      <c r="E638" s="2" t="str">
        <f>IF($G638="","",IF(AND(OR($O638="Junior",$O638="Woman Junior",$O638="Youth",$O638="Woman Youth"),ISERROR(MATCH($N638,Lge_Junior!$B:$B,0))),1,0))</f>
        <v/>
      </c>
      <c r="F638" s="2" t="str">
        <f>IF($G638="","",IF(AND(LEFT($O638,3)="You",ISERROR(MATCH($N638,Lge_Youth!$B:$B,0))),1,0))</f>
        <v/>
      </c>
      <c r="G638" s="3"/>
      <c r="H638" s="3"/>
      <c r="I638" s="3"/>
      <c r="J638" s="3"/>
      <c r="K638" s="6"/>
      <c r="L638" s="4"/>
      <c r="M638" s="4"/>
      <c r="N638" s="8"/>
      <c r="O638" s="8"/>
      <c r="P638" s="9"/>
      <c r="Q638" s="8"/>
      <c r="R638" s="8"/>
      <c r="S638" s="9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10"/>
    </row>
    <row r="639" spans="1:39" x14ac:dyDescent="0.2">
      <c r="A639" s="2" t="str">
        <f>IF($G639="","",IF(ISERROR(MATCH($N639,Lge_Scratch!$B:$B,0)),1,0))</f>
        <v/>
      </c>
      <c r="B639" s="2" t="str">
        <f>IF($G639="","",IF(AND(LEFT($Q639,8)="Non-aero",ISERROR(MATCH($N639,Lge_NonAero!$B:$B,0))),1,0))</f>
        <v/>
      </c>
      <c r="C639" s="5" t="str">
        <f>IF($G639="","",IF(AND(LEFT($O639,3)="Wom",ISERROR(MATCH($N639,Lge_Women!$B:$B,0))),1,0))</f>
        <v/>
      </c>
      <c r="D639" s="2" t="str">
        <f>IF($G639="","",IF(AND(OR($O639="Vet",$O639="Woman Vet"),ISERROR(MATCH($N639,Lge_Vets!$B:$B,0))),1,0))</f>
        <v/>
      </c>
      <c r="E639" s="2" t="str">
        <f>IF($G639="","",IF(AND(OR($O639="Junior",$O639="Woman Junior",$O639="Youth",$O639="Woman Youth"),ISERROR(MATCH($N639,Lge_Junior!$B:$B,0))),1,0))</f>
        <v/>
      </c>
      <c r="F639" s="2" t="str">
        <f>IF($G639="","",IF(AND(LEFT($O639,3)="You",ISERROR(MATCH($N639,Lge_Youth!$B:$B,0))),1,0))</f>
        <v/>
      </c>
      <c r="G639" s="3"/>
      <c r="H639" s="3"/>
      <c r="I639" s="3"/>
      <c r="J639" s="3"/>
      <c r="K639" s="6"/>
      <c r="L639" s="4"/>
      <c r="M639" s="4"/>
      <c r="N639" s="8"/>
      <c r="O639" s="8"/>
      <c r="P639" s="9"/>
      <c r="Q639" s="8"/>
      <c r="R639" s="8"/>
      <c r="S639" s="9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10"/>
    </row>
    <row r="640" spans="1:39" x14ac:dyDescent="0.2">
      <c r="A640" s="2" t="str">
        <f>IF($G640="","",IF(ISERROR(MATCH($N640,Lge_Scratch!$B:$B,0)),1,0))</f>
        <v/>
      </c>
      <c r="B640" s="2" t="str">
        <f>IF($G640="","",IF(AND(LEFT($Q640,8)="Non-aero",ISERROR(MATCH($N640,Lge_NonAero!$B:$B,0))),1,0))</f>
        <v/>
      </c>
      <c r="C640" s="5" t="str">
        <f>IF($G640="","",IF(AND(LEFT($O640,3)="Wom",ISERROR(MATCH($N640,Lge_Women!$B:$B,0))),1,0))</f>
        <v/>
      </c>
      <c r="D640" s="2" t="str">
        <f>IF($G640="","",IF(AND(OR($O640="Vet",$O640="Woman Vet"),ISERROR(MATCH($N640,Lge_Vets!$B:$B,0))),1,0))</f>
        <v/>
      </c>
      <c r="E640" s="2" t="str">
        <f>IF($G640="","",IF(AND(OR($O640="Junior",$O640="Woman Junior",$O640="Youth",$O640="Woman Youth"),ISERROR(MATCH($N640,Lge_Junior!$B:$B,0))),1,0))</f>
        <v/>
      </c>
      <c r="F640" s="2" t="str">
        <f>IF($G640="","",IF(AND(LEFT($O640,3)="You",ISERROR(MATCH($N640,Lge_Youth!$B:$B,0))),1,0))</f>
        <v/>
      </c>
      <c r="G640" s="3"/>
      <c r="H640" s="3"/>
      <c r="I640" s="3"/>
      <c r="J640" s="3"/>
      <c r="K640" s="6"/>
      <c r="L640" s="4"/>
      <c r="M640" s="4"/>
      <c r="N640" s="8"/>
      <c r="O640" s="8"/>
      <c r="P640" s="9"/>
      <c r="Q640" s="8"/>
      <c r="R640" s="8"/>
      <c r="S640" s="9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10"/>
    </row>
    <row r="641" spans="1:39" x14ac:dyDescent="0.2">
      <c r="A641" s="2" t="str">
        <f>IF($G641="","",IF(ISERROR(MATCH($N641,Lge_Scratch!$B:$B,0)),1,0))</f>
        <v/>
      </c>
      <c r="B641" s="2" t="str">
        <f>IF($G641="","",IF(AND(LEFT($Q641,8)="Non-aero",ISERROR(MATCH($N641,Lge_NonAero!$B:$B,0))),1,0))</f>
        <v/>
      </c>
      <c r="C641" s="5" t="str">
        <f>IF($G641="","",IF(AND(LEFT($O641,3)="Wom",ISERROR(MATCH($N641,Lge_Women!$B:$B,0))),1,0))</f>
        <v/>
      </c>
      <c r="D641" s="2" t="str">
        <f>IF($G641="","",IF(AND(OR($O641="Vet",$O641="Woman Vet"),ISERROR(MATCH($N641,Lge_Vets!$B:$B,0))),1,0))</f>
        <v/>
      </c>
      <c r="E641" s="2" t="str">
        <f>IF($G641="","",IF(AND(OR($O641="Junior",$O641="Woman Junior",$O641="Youth",$O641="Woman Youth"),ISERROR(MATCH($N641,Lge_Junior!$B:$B,0))),1,0))</f>
        <v/>
      </c>
      <c r="F641" s="2" t="str">
        <f>IF($G641="","",IF(AND(LEFT($O641,3)="You",ISERROR(MATCH($N641,Lge_Youth!$B:$B,0))),1,0))</f>
        <v/>
      </c>
      <c r="G641" s="3"/>
      <c r="H641" s="3"/>
      <c r="I641" s="3"/>
      <c r="J641" s="3"/>
      <c r="K641" s="6"/>
      <c r="L641" s="4"/>
      <c r="M641" s="4"/>
      <c r="N641" s="8"/>
      <c r="O641" s="8"/>
      <c r="P641" s="9"/>
      <c r="Q641" s="8"/>
      <c r="R641" s="8"/>
      <c r="S641" s="9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10"/>
    </row>
    <row r="642" spans="1:39" x14ac:dyDescent="0.2">
      <c r="A642" s="2" t="str">
        <f>IF($G642="","",IF(ISERROR(MATCH($N642,Lge_Scratch!$B:$B,0)),1,0))</f>
        <v/>
      </c>
      <c r="B642" s="2" t="str">
        <f>IF($G642="","",IF(AND(LEFT($Q642,8)="Non-aero",ISERROR(MATCH($N642,Lge_NonAero!$B:$B,0))),1,0))</f>
        <v/>
      </c>
      <c r="C642" s="5" t="str">
        <f>IF($G642="","",IF(AND(LEFT($O642,3)="Wom",ISERROR(MATCH($N642,Lge_Women!$B:$B,0))),1,0))</f>
        <v/>
      </c>
      <c r="D642" s="2" t="str">
        <f>IF($G642="","",IF(AND(OR($O642="Vet",$O642="Woman Vet"),ISERROR(MATCH($N642,Lge_Vets!$B:$B,0))),1,0))</f>
        <v/>
      </c>
      <c r="E642" s="2" t="str">
        <f>IF($G642="","",IF(AND(OR($O642="Junior",$O642="Woman Junior",$O642="Youth",$O642="Woman Youth"),ISERROR(MATCH($N642,Lge_Junior!$B:$B,0))),1,0))</f>
        <v/>
      </c>
      <c r="F642" s="2" t="str">
        <f>IF($G642="","",IF(AND(LEFT($O642,3)="You",ISERROR(MATCH($N642,Lge_Youth!$B:$B,0))),1,0))</f>
        <v/>
      </c>
      <c r="G642" s="3"/>
      <c r="H642" s="3"/>
      <c r="I642" s="3"/>
      <c r="J642" s="3"/>
      <c r="K642" s="6"/>
      <c r="L642" s="4"/>
      <c r="M642" s="4"/>
      <c r="N642" s="8"/>
      <c r="O642" s="8"/>
      <c r="P642" s="9"/>
      <c r="Q642" s="8"/>
      <c r="R642" s="8"/>
      <c r="S642" s="9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10"/>
    </row>
    <row r="643" spans="1:39" x14ac:dyDescent="0.2">
      <c r="A643" s="2" t="str">
        <f>IF($G643="","",IF(ISERROR(MATCH($N643,Lge_Scratch!$B:$B,0)),1,0))</f>
        <v/>
      </c>
      <c r="B643" s="2" t="str">
        <f>IF($G643="","",IF(AND(LEFT($Q643,8)="Non-aero",ISERROR(MATCH($N643,Lge_NonAero!$B:$B,0))),1,0))</f>
        <v/>
      </c>
      <c r="C643" s="5" t="str">
        <f>IF($G643="","",IF(AND(LEFT($O643,3)="Wom",ISERROR(MATCH($N643,Lge_Women!$B:$B,0))),1,0))</f>
        <v/>
      </c>
      <c r="D643" s="2" t="str">
        <f>IF($G643="","",IF(AND(OR($O643="Vet",$O643="Woman Vet"),ISERROR(MATCH($N643,Lge_Vets!$B:$B,0))),1,0))</f>
        <v/>
      </c>
      <c r="E643" s="2" t="str">
        <f>IF($G643="","",IF(AND(OR($O643="Junior",$O643="Woman Junior",$O643="Youth",$O643="Woman Youth"),ISERROR(MATCH($N643,Lge_Junior!$B:$B,0))),1,0))</f>
        <v/>
      </c>
      <c r="F643" s="2" t="str">
        <f>IF($G643="","",IF(AND(LEFT($O643,3)="You",ISERROR(MATCH($N643,Lge_Youth!$B:$B,0))),1,0))</f>
        <v/>
      </c>
      <c r="G643" s="3"/>
      <c r="H643" s="3"/>
      <c r="I643" s="3"/>
      <c r="J643" s="3"/>
      <c r="K643" s="6"/>
      <c r="L643" s="4"/>
      <c r="M643" s="4"/>
      <c r="N643" s="8"/>
      <c r="O643" s="8"/>
      <c r="P643" s="9"/>
      <c r="Q643" s="8"/>
      <c r="R643" s="8"/>
      <c r="S643" s="9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10"/>
    </row>
    <row r="644" spans="1:39" x14ac:dyDescent="0.2">
      <c r="A644" s="2" t="str">
        <f>IF($G644="","",IF(ISERROR(MATCH($N644,Lge_Scratch!$B:$B,0)),1,0))</f>
        <v/>
      </c>
      <c r="B644" s="2" t="str">
        <f>IF($G644="","",IF(AND(LEFT($Q644,8)="Non-aero",ISERROR(MATCH($N644,Lge_NonAero!$B:$B,0))),1,0))</f>
        <v/>
      </c>
      <c r="C644" s="5" t="str">
        <f>IF($G644="","",IF(AND(LEFT($O644,3)="Wom",ISERROR(MATCH($N644,Lge_Women!$B:$B,0))),1,0))</f>
        <v/>
      </c>
      <c r="D644" s="2" t="str">
        <f>IF($G644="","",IF(AND(OR($O644="Vet",$O644="Woman Vet"),ISERROR(MATCH($N644,Lge_Vets!$B:$B,0))),1,0))</f>
        <v/>
      </c>
      <c r="E644" s="2" t="str">
        <f>IF($G644="","",IF(AND(OR($O644="Junior",$O644="Woman Junior",$O644="Youth",$O644="Woman Youth"),ISERROR(MATCH($N644,Lge_Junior!$B:$B,0))),1,0))</f>
        <v/>
      </c>
      <c r="F644" s="2" t="str">
        <f>IF($G644="","",IF(AND(LEFT($O644,3)="You",ISERROR(MATCH($N644,Lge_Youth!$B:$B,0))),1,0))</f>
        <v/>
      </c>
      <c r="G644" s="3"/>
      <c r="H644" s="3"/>
      <c r="I644" s="3"/>
      <c r="J644" s="3"/>
      <c r="K644" s="6"/>
      <c r="L644" s="4"/>
      <c r="M644" s="4"/>
      <c r="N644" s="8"/>
      <c r="O644" s="8"/>
      <c r="P644" s="9"/>
      <c r="Q644" s="8"/>
      <c r="R644" s="8"/>
      <c r="S644" s="9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10"/>
    </row>
    <row r="645" spans="1:39" x14ac:dyDescent="0.2">
      <c r="A645" s="2" t="str">
        <f>IF($G645="","",IF(ISERROR(MATCH($N645,Lge_Scratch!$B:$B,0)),1,0))</f>
        <v/>
      </c>
      <c r="B645" s="2" t="str">
        <f>IF($G645="","",IF(AND(LEFT($Q645,8)="Non-aero",ISERROR(MATCH($N645,Lge_NonAero!$B:$B,0))),1,0))</f>
        <v/>
      </c>
      <c r="C645" s="5" t="str">
        <f>IF($G645="","",IF(AND(LEFT($O645,3)="Wom",ISERROR(MATCH($N645,Lge_Women!$B:$B,0))),1,0))</f>
        <v/>
      </c>
      <c r="D645" s="2" t="str">
        <f>IF($G645="","",IF(AND(OR($O645="Vet",$O645="Woman Vet"),ISERROR(MATCH($N645,Lge_Vets!$B:$B,0))),1,0))</f>
        <v/>
      </c>
      <c r="E645" s="2" t="str">
        <f>IF($G645="","",IF(AND(OR($O645="Junior",$O645="Woman Junior",$O645="Youth",$O645="Woman Youth"),ISERROR(MATCH($N645,Lge_Junior!$B:$B,0))),1,0))</f>
        <v/>
      </c>
      <c r="F645" s="2" t="str">
        <f>IF($G645="","",IF(AND(LEFT($O645,3)="You",ISERROR(MATCH($N645,Lge_Youth!$B:$B,0))),1,0))</f>
        <v/>
      </c>
      <c r="G645" s="3"/>
      <c r="H645" s="3"/>
      <c r="I645" s="3"/>
      <c r="J645" s="3"/>
      <c r="K645" s="6"/>
      <c r="L645" s="4"/>
      <c r="M645" s="4"/>
      <c r="N645" s="8"/>
      <c r="O645" s="8"/>
      <c r="P645" s="9"/>
      <c r="Q645" s="8"/>
      <c r="R645" s="8"/>
      <c r="S645" s="9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10"/>
    </row>
    <row r="646" spans="1:39" x14ac:dyDescent="0.2">
      <c r="A646" s="2" t="str">
        <f>IF($G646="","",IF(ISERROR(MATCH($N646,Lge_Scratch!$B:$B,0)),1,0))</f>
        <v/>
      </c>
      <c r="B646" s="2" t="str">
        <f>IF($G646="","",IF(AND(LEFT($Q646,8)="Non-aero",ISERROR(MATCH($N646,Lge_NonAero!$B:$B,0))),1,0))</f>
        <v/>
      </c>
      <c r="C646" s="5" t="str">
        <f>IF($G646="","",IF(AND(LEFT($O646,3)="Wom",ISERROR(MATCH($N646,Lge_Women!$B:$B,0))),1,0))</f>
        <v/>
      </c>
      <c r="D646" s="2" t="str">
        <f>IF($G646="","",IF(AND(OR($O646="Vet",$O646="Woman Vet"),ISERROR(MATCH($N646,Lge_Vets!$B:$B,0))),1,0))</f>
        <v/>
      </c>
      <c r="E646" s="2" t="str">
        <f>IF($G646="","",IF(AND(OR($O646="Junior",$O646="Woman Junior",$O646="Youth",$O646="Woman Youth"),ISERROR(MATCH($N646,Lge_Junior!$B:$B,0))),1,0))</f>
        <v/>
      </c>
      <c r="F646" s="2" t="str">
        <f>IF($G646="","",IF(AND(LEFT($O646,3)="You",ISERROR(MATCH($N646,Lge_Youth!$B:$B,0))),1,0))</f>
        <v/>
      </c>
      <c r="G646" s="3"/>
      <c r="H646" s="3"/>
      <c r="I646" s="3"/>
      <c r="J646" s="3"/>
      <c r="K646" s="6"/>
      <c r="L646" s="4"/>
      <c r="M646" s="4"/>
      <c r="N646" s="8"/>
      <c r="O646" s="8"/>
      <c r="P646" s="9"/>
      <c r="Q646" s="8"/>
      <c r="R646" s="8"/>
      <c r="S646" s="9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10"/>
    </row>
    <row r="647" spans="1:39" x14ac:dyDescent="0.2">
      <c r="A647" s="2" t="str">
        <f>IF($G647="","",IF(ISERROR(MATCH($N647,Lge_Scratch!$B:$B,0)),1,0))</f>
        <v/>
      </c>
      <c r="B647" s="2" t="str">
        <f>IF($G647="","",IF(AND(LEFT($Q647,8)="Non-aero",ISERROR(MATCH($N647,Lge_NonAero!$B:$B,0))),1,0))</f>
        <v/>
      </c>
      <c r="C647" s="5" t="str">
        <f>IF($G647="","",IF(AND(LEFT($O647,3)="Wom",ISERROR(MATCH($N647,Lge_Women!$B:$B,0))),1,0))</f>
        <v/>
      </c>
      <c r="D647" s="2" t="str">
        <f>IF($G647="","",IF(AND(OR($O647="Vet",$O647="Woman Vet"),ISERROR(MATCH($N647,Lge_Vets!$B:$B,0))),1,0))</f>
        <v/>
      </c>
      <c r="E647" s="2" t="str">
        <f>IF($G647="","",IF(AND(OR($O647="Junior",$O647="Woman Junior",$O647="Youth",$O647="Woman Youth"),ISERROR(MATCH($N647,Lge_Junior!$B:$B,0))),1,0))</f>
        <v/>
      </c>
      <c r="F647" s="2" t="str">
        <f>IF($G647="","",IF(AND(LEFT($O647,3)="You",ISERROR(MATCH($N647,Lge_Youth!$B:$B,0))),1,0))</f>
        <v/>
      </c>
      <c r="G647" s="3"/>
      <c r="H647" s="3"/>
      <c r="I647" s="3"/>
      <c r="J647" s="3"/>
      <c r="K647" s="6"/>
      <c r="L647" s="4"/>
      <c r="M647" s="4"/>
      <c r="N647" s="8"/>
      <c r="O647" s="8"/>
      <c r="P647" s="9"/>
      <c r="Q647" s="8"/>
      <c r="R647" s="8"/>
      <c r="S647" s="9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10"/>
    </row>
    <row r="648" spans="1:39" x14ac:dyDescent="0.2">
      <c r="A648" s="2" t="str">
        <f>IF($G648="","",IF(ISERROR(MATCH($N648,Lge_Scratch!$B:$B,0)),1,0))</f>
        <v/>
      </c>
      <c r="B648" s="2" t="str">
        <f>IF($G648="","",IF(AND(LEFT($Q648,8)="Non-aero",ISERROR(MATCH($N648,Lge_NonAero!$B:$B,0))),1,0))</f>
        <v/>
      </c>
      <c r="C648" s="5" t="str">
        <f>IF($G648="","",IF(AND(LEFT($O648,3)="Wom",ISERROR(MATCH($N648,Lge_Women!$B:$B,0))),1,0))</f>
        <v/>
      </c>
      <c r="D648" s="2" t="str">
        <f>IF($G648="","",IF(AND(OR($O648="Vet",$O648="Woman Vet"),ISERROR(MATCH($N648,Lge_Vets!$B:$B,0))),1,0))</f>
        <v/>
      </c>
      <c r="E648" s="2" t="str">
        <f>IF($G648="","",IF(AND(OR($O648="Junior",$O648="Woman Junior",$O648="Youth",$O648="Woman Youth"),ISERROR(MATCH($N648,Lge_Junior!$B:$B,0))),1,0))</f>
        <v/>
      </c>
      <c r="F648" s="2" t="str">
        <f>IF($G648="","",IF(AND(LEFT($O648,3)="You",ISERROR(MATCH($N648,Lge_Youth!$B:$B,0))),1,0))</f>
        <v/>
      </c>
      <c r="G648" s="3"/>
      <c r="H648" s="3"/>
      <c r="I648" s="3"/>
      <c r="J648" s="3"/>
      <c r="K648" s="6"/>
      <c r="L648" s="4"/>
      <c r="M648" s="4"/>
      <c r="N648" s="8"/>
      <c r="O648" s="8"/>
      <c r="P648" s="9"/>
      <c r="Q648" s="8"/>
      <c r="R648" s="8"/>
      <c r="S648" s="9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10"/>
    </row>
    <row r="649" spans="1:39" x14ac:dyDescent="0.2">
      <c r="A649" s="2" t="str">
        <f>IF($G649="","",IF(ISERROR(MATCH($N649,Lge_Scratch!$B:$B,0)),1,0))</f>
        <v/>
      </c>
      <c r="B649" s="2" t="str">
        <f>IF($G649="","",IF(AND(LEFT($Q649,8)="Non-aero",ISERROR(MATCH($N649,Lge_NonAero!$B:$B,0))),1,0))</f>
        <v/>
      </c>
      <c r="C649" s="5" t="str">
        <f>IF($G649="","",IF(AND(LEFT($O649,3)="Wom",ISERROR(MATCH($N649,Lge_Women!$B:$B,0))),1,0))</f>
        <v/>
      </c>
      <c r="D649" s="2" t="str">
        <f>IF($G649="","",IF(AND(OR($O649="Vet",$O649="Woman Vet"),ISERROR(MATCH($N649,Lge_Vets!$B:$B,0))),1,0))</f>
        <v/>
      </c>
      <c r="E649" s="2" t="str">
        <f>IF($G649="","",IF(AND(OR($O649="Junior",$O649="Woman Junior",$O649="Youth",$O649="Woman Youth"),ISERROR(MATCH($N649,Lge_Junior!$B:$B,0))),1,0))</f>
        <v/>
      </c>
      <c r="F649" s="2" t="str">
        <f>IF($G649="","",IF(AND(LEFT($O649,3)="You",ISERROR(MATCH($N649,Lge_Youth!$B:$B,0))),1,0))</f>
        <v/>
      </c>
      <c r="G649" s="3"/>
      <c r="H649" s="3"/>
      <c r="I649" s="3"/>
      <c r="J649" s="3"/>
      <c r="K649" s="6"/>
      <c r="L649" s="4"/>
      <c r="M649" s="4"/>
      <c r="N649" s="8"/>
      <c r="O649" s="8"/>
      <c r="P649" s="9"/>
      <c r="Q649" s="8"/>
      <c r="R649" s="8"/>
      <c r="S649" s="9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10"/>
    </row>
    <row r="650" spans="1:39" x14ac:dyDescent="0.2">
      <c r="A650" s="2" t="str">
        <f>IF($G650="","",IF(ISERROR(MATCH($N650,Lge_Scratch!$B:$B,0)),1,0))</f>
        <v/>
      </c>
      <c r="B650" s="2" t="str">
        <f>IF($G650="","",IF(AND(LEFT($Q650,8)="Non-aero",ISERROR(MATCH($N650,Lge_NonAero!$B:$B,0))),1,0))</f>
        <v/>
      </c>
      <c r="C650" s="5" t="str">
        <f>IF($G650="","",IF(AND(LEFT($O650,3)="Wom",ISERROR(MATCH($N650,Lge_Women!$B:$B,0))),1,0))</f>
        <v/>
      </c>
      <c r="D650" s="2" t="str">
        <f>IF($G650="","",IF(AND(OR($O650="Vet",$O650="Woman Vet"),ISERROR(MATCH($N650,Lge_Vets!$B:$B,0))),1,0))</f>
        <v/>
      </c>
      <c r="E650" s="2" t="str">
        <f>IF($G650="","",IF(AND(OR($O650="Junior",$O650="Woman Junior",$O650="Youth",$O650="Woman Youth"),ISERROR(MATCH($N650,Lge_Junior!$B:$B,0))),1,0))</f>
        <v/>
      </c>
      <c r="F650" s="2" t="str">
        <f>IF($G650="","",IF(AND(LEFT($O650,3)="You",ISERROR(MATCH($N650,Lge_Youth!$B:$B,0))),1,0))</f>
        <v/>
      </c>
      <c r="G650" s="3"/>
      <c r="H650" s="3"/>
      <c r="I650" s="3"/>
      <c r="J650" s="3"/>
      <c r="K650" s="6"/>
      <c r="L650" s="4"/>
      <c r="M650" s="4"/>
      <c r="N650" s="8"/>
      <c r="O650" s="8"/>
      <c r="P650" s="9"/>
      <c r="Q650" s="8"/>
      <c r="R650" s="8"/>
      <c r="S650" s="9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10"/>
    </row>
    <row r="651" spans="1:39" x14ac:dyDescent="0.2">
      <c r="A651" s="2" t="str">
        <f>IF($G651="","",IF(ISERROR(MATCH($N651,Lge_Scratch!$B:$B,0)),1,0))</f>
        <v/>
      </c>
      <c r="B651" s="2" t="str">
        <f>IF($G651="","",IF(AND(LEFT($Q651,8)="Non-aero",ISERROR(MATCH($N651,Lge_NonAero!$B:$B,0))),1,0))</f>
        <v/>
      </c>
      <c r="C651" s="5" t="str">
        <f>IF($G651="","",IF(AND(LEFT($O651,3)="Wom",ISERROR(MATCH($N651,Lge_Women!$B:$B,0))),1,0))</f>
        <v/>
      </c>
      <c r="D651" s="2" t="str">
        <f>IF($G651="","",IF(AND(OR($O651="Vet",$O651="Woman Vet"),ISERROR(MATCH($N651,Lge_Vets!$B:$B,0))),1,0))</f>
        <v/>
      </c>
      <c r="E651" s="2" t="str">
        <f>IF($G651="","",IF(AND(OR($O651="Junior",$O651="Woman Junior",$O651="Youth",$O651="Woman Youth"),ISERROR(MATCH($N651,Lge_Junior!$B:$B,0))),1,0))</f>
        <v/>
      </c>
      <c r="F651" s="2" t="str">
        <f>IF($G651="","",IF(AND(LEFT($O651,3)="You",ISERROR(MATCH($N651,Lge_Youth!$B:$B,0))),1,0))</f>
        <v/>
      </c>
      <c r="G651" s="3"/>
      <c r="H651" s="3"/>
      <c r="I651" s="3"/>
      <c r="J651" s="3"/>
      <c r="K651" s="6"/>
      <c r="L651" s="4"/>
      <c r="M651" s="4"/>
      <c r="N651" s="8"/>
      <c r="O651" s="8"/>
      <c r="P651" s="9"/>
      <c r="Q651" s="8"/>
      <c r="R651" s="8"/>
      <c r="S651" s="9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10"/>
    </row>
    <row r="652" spans="1:39" x14ac:dyDescent="0.2">
      <c r="A652" s="2" t="str">
        <f>IF($G652="","",IF(ISERROR(MATCH($N652,Lge_Scratch!$B:$B,0)),1,0))</f>
        <v/>
      </c>
      <c r="B652" s="2" t="str">
        <f>IF($G652="","",IF(AND(LEFT($Q652,8)="Non-aero",ISERROR(MATCH($N652,Lge_NonAero!$B:$B,0))),1,0))</f>
        <v/>
      </c>
      <c r="C652" s="5" t="str">
        <f>IF($G652="","",IF(AND(LEFT($O652,3)="Wom",ISERROR(MATCH($N652,Lge_Women!$B:$B,0))),1,0))</f>
        <v/>
      </c>
      <c r="D652" s="2" t="str">
        <f>IF($G652="","",IF(AND(OR($O652="Vet",$O652="Woman Vet"),ISERROR(MATCH($N652,Lge_Vets!$B:$B,0))),1,0))</f>
        <v/>
      </c>
      <c r="E652" s="2" t="str">
        <f>IF($G652="","",IF(AND(OR($O652="Junior",$O652="Woman Junior",$O652="Youth",$O652="Woman Youth"),ISERROR(MATCH($N652,Lge_Junior!$B:$B,0))),1,0))</f>
        <v/>
      </c>
      <c r="F652" s="2" t="str">
        <f>IF($G652="","",IF(AND(LEFT($O652,3)="You",ISERROR(MATCH($N652,Lge_Youth!$B:$B,0))),1,0))</f>
        <v/>
      </c>
      <c r="G652" s="3"/>
      <c r="H652" s="3"/>
      <c r="I652" s="3"/>
      <c r="J652" s="3"/>
      <c r="K652" s="6"/>
      <c r="L652" s="4"/>
      <c r="M652" s="4"/>
      <c r="N652" s="8"/>
      <c r="O652" s="8"/>
      <c r="P652" s="9"/>
      <c r="Q652" s="8"/>
      <c r="R652" s="8"/>
      <c r="S652" s="9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10"/>
    </row>
    <row r="653" spans="1:39" x14ac:dyDescent="0.2">
      <c r="A653" s="2" t="str">
        <f>IF($G653="","",IF(ISERROR(MATCH($N653,Lge_Scratch!$B:$B,0)),1,0))</f>
        <v/>
      </c>
      <c r="B653" s="2" t="str">
        <f>IF($G653="","",IF(AND(LEFT($Q653,8)="Non-aero",ISERROR(MATCH($N653,Lge_NonAero!$B:$B,0))),1,0))</f>
        <v/>
      </c>
      <c r="C653" s="5" t="str">
        <f>IF($G653="","",IF(AND(LEFT($O653,3)="Wom",ISERROR(MATCH($N653,Lge_Women!$B:$B,0))),1,0))</f>
        <v/>
      </c>
      <c r="D653" s="2" t="str">
        <f>IF($G653="","",IF(AND(OR($O653="Vet",$O653="Woman Vet"),ISERROR(MATCH($N653,Lge_Vets!$B:$B,0))),1,0))</f>
        <v/>
      </c>
      <c r="E653" s="2" t="str">
        <f>IF($G653="","",IF(AND(OR($O653="Junior",$O653="Woman Junior",$O653="Youth",$O653="Woman Youth"),ISERROR(MATCH($N653,Lge_Junior!$B:$B,0))),1,0))</f>
        <v/>
      </c>
      <c r="F653" s="2" t="str">
        <f>IF($G653="","",IF(AND(LEFT($O653,3)="You",ISERROR(MATCH($N653,Lge_Youth!$B:$B,0))),1,0))</f>
        <v/>
      </c>
      <c r="G653" s="3"/>
      <c r="H653" s="3"/>
      <c r="I653" s="3"/>
      <c r="J653" s="3"/>
      <c r="K653" s="6"/>
      <c r="L653" s="4"/>
      <c r="M653" s="4"/>
      <c r="N653" s="8"/>
      <c r="O653" s="8"/>
      <c r="P653" s="9"/>
      <c r="Q653" s="8"/>
      <c r="R653" s="8"/>
      <c r="S653" s="9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10"/>
    </row>
    <row r="654" spans="1:39" x14ac:dyDescent="0.2">
      <c r="A654" s="2" t="str">
        <f>IF($G654="","",IF(ISERROR(MATCH($N654,Lge_Scratch!$B:$B,0)),1,0))</f>
        <v/>
      </c>
      <c r="B654" s="2" t="str">
        <f>IF($G654="","",IF(AND(LEFT($Q654,8)="Non-aero",ISERROR(MATCH($N654,Lge_NonAero!$B:$B,0))),1,0))</f>
        <v/>
      </c>
      <c r="C654" s="5" t="str">
        <f>IF($G654="","",IF(AND(LEFT($O654,3)="Wom",ISERROR(MATCH($N654,Lge_Women!$B:$B,0))),1,0))</f>
        <v/>
      </c>
      <c r="D654" s="2" t="str">
        <f>IF($G654="","",IF(AND(OR($O654="Vet",$O654="Woman Vet"),ISERROR(MATCH($N654,Lge_Vets!$B:$B,0))),1,0))</f>
        <v/>
      </c>
      <c r="E654" s="2" t="str">
        <f>IF($G654="","",IF(AND(OR($O654="Junior",$O654="Woman Junior",$O654="Youth",$O654="Woman Youth"),ISERROR(MATCH($N654,Lge_Junior!$B:$B,0))),1,0))</f>
        <v/>
      </c>
      <c r="F654" s="2" t="str">
        <f>IF($G654="","",IF(AND(LEFT($O654,3)="You",ISERROR(MATCH($N654,Lge_Youth!$B:$B,0))),1,0))</f>
        <v/>
      </c>
      <c r="G654" s="3"/>
      <c r="H654" s="3"/>
      <c r="I654" s="3"/>
      <c r="J654" s="3"/>
      <c r="K654" s="6"/>
      <c r="L654" s="4"/>
      <c r="M654" s="4"/>
      <c r="N654" s="8"/>
      <c r="O654" s="8"/>
      <c r="P654" s="9"/>
      <c r="Q654" s="8"/>
      <c r="R654" s="8"/>
      <c r="S654" s="9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10"/>
    </row>
    <row r="655" spans="1:39" x14ac:dyDescent="0.2">
      <c r="A655" s="2" t="str">
        <f>IF($G655="","",IF(ISERROR(MATCH($N655,Lge_Scratch!$B:$B,0)),1,0))</f>
        <v/>
      </c>
      <c r="B655" s="2" t="str">
        <f>IF($G655="","",IF(AND(LEFT($Q655,8)="Non-aero",ISERROR(MATCH($N655,Lge_NonAero!$B:$B,0))),1,0))</f>
        <v/>
      </c>
      <c r="C655" s="5" t="str">
        <f>IF($G655="","",IF(AND(LEFT($O655,3)="Wom",ISERROR(MATCH($N655,Lge_Women!$B:$B,0))),1,0))</f>
        <v/>
      </c>
      <c r="D655" s="2" t="str">
        <f>IF($G655="","",IF(AND(OR($O655="Vet",$O655="Woman Vet"),ISERROR(MATCH($N655,Lge_Vets!$B:$B,0))),1,0))</f>
        <v/>
      </c>
      <c r="E655" s="2" t="str">
        <f>IF($G655="","",IF(AND(OR($O655="Junior",$O655="Woman Junior",$O655="Youth",$O655="Woman Youth"),ISERROR(MATCH($N655,Lge_Junior!$B:$B,0))),1,0))</f>
        <v/>
      </c>
      <c r="F655" s="2" t="str">
        <f>IF($G655="","",IF(AND(LEFT($O655,3)="You",ISERROR(MATCH($N655,Lge_Youth!$B:$B,0))),1,0))</f>
        <v/>
      </c>
      <c r="G655" s="3"/>
      <c r="H655" s="3"/>
      <c r="I655" s="3"/>
      <c r="J655" s="3"/>
      <c r="K655" s="6"/>
      <c r="L655" s="4"/>
      <c r="M655" s="4"/>
      <c r="N655" s="8"/>
      <c r="O655" s="8"/>
      <c r="P655" s="9"/>
      <c r="Q655" s="8"/>
      <c r="R655" s="8"/>
      <c r="S655" s="9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10"/>
    </row>
    <row r="656" spans="1:39" x14ac:dyDescent="0.2">
      <c r="A656" s="2" t="str">
        <f>IF($G656="","",IF(ISERROR(MATCH($N656,Lge_Scratch!$B:$B,0)),1,0))</f>
        <v/>
      </c>
      <c r="B656" s="2" t="str">
        <f>IF($G656="","",IF(AND(LEFT($Q656,8)="Non-aero",ISERROR(MATCH($N656,Lge_NonAero!$B:$B,0))),1,0))</f>
        <v/>
      </c>
      <c r="C656" s="5" t="str">
        <f>IF($G656="","",IF(AND(LEFT($O656,3)="Wom",ISERROR(MATCH($N656,Lge_Women!$B:$B,0))),1,0))</f>
        <v/>
      </c>
      <c r="D656" s="2" t="str">
        <f>IF($G656="","",IF(AND(OR($O656="Vet",$O656="Woman Vet"),ISERROR(MATCH($N656,Lge_Vets!$B:$B,0))),1,0))</f>
        <v/>
      </c>
      <c r="E656" s="2" t="str">
        <f>IF($G656="","",IF(AND(OR($O656="Junior",$O656="Woman Junior",$O656="Youth",$O656="Woman Youth"),ISERROR(MATCH($N656,Lge_Junior!$B:$B,0))),1,0))</f>
        <v/>
      </c>
      <c r="F656" s="2" t="str">
        <f>IF($G656="","",IF(AND(LEFT($O656,3)="You",ISERROR(MATCH($N656,Lge_Youth!$B:$B,0))),1,0))</f>
        <v/>
      </c>
      <c r="G656" s="3"/>
      <c r="H656" s="3"/>
      <c r="I656" s="3"/>
      <c r="J656" s="3"/>
      <c r="K656" s="6"/>
      <c r="L656" s="4"/>
      <c r="M656" s="4"/>
      <c r="N656" s="8"/>
      <c r="O656" s="8"/>
      <c r="P656" s="9"/>
      <c r="Q656" s="8"/>
      <c r="R656" s="8"/>
      <c r="S656" s="9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10"/>
    </row>
    <row r="657" spans="1:39" x14ac:dyDescent="0.2">
      <c r="A657" s="2" t="str">
        <f>IF($G657="","",IF(ISERROR(MATCH($N657,Lge_Scratch!$B:$B,0)),1,0))</f>
        <v/>
      </c>
      <c r="B657" s="2" t="str">
        <f>IF($G657="","",IF(AND(LEFT($Q657,8)="Non-aero",ISERROR(MATCH($N657,Lge_NonAero!$B:$B,0))),1,0))</f>
        <v/>
      </c>
      <c r="C657" s="5" t="str">
        <f>IF($G657="","",IF(AND(LEFT($O657,3)="Wom",ISERROR(MATCH($N657,Lge_Women!$B:$B,0))),1,0))</f>
        <v/>
      </c>
      <c r="D657" s="2" t="str">
        <f>IF($G657="","",IF(AND(OR($O657="Vet",$O657="Woman Vet"),ISERROR(MATCH($N657,Lge_Vets!$B:$B,0))),1,0))</f>
        <v/>
      </c>
      <c r="E657" s="2" t="str">
        <f>IF($G657="","",IF(AND(OR($O657="Junior",$O657="Woman Junior",$O657="Youth",$O657="Woman Youth"),ISERROR(MATCH($N657,Lge_Junior!$B:$B,0))),1,0))</f>
        <v/>
      </c>
      <c r="F657" s="2" t="str">
        <f>IF($G657="","",IF(AND(LEFT($O657,3)="You",ISERROR(MATCH($N657,Lge_Youth!$B:$B,0))),1,0))</f>
        <v/>
      </c>
      <c r="G657" s="3"/>
      <c r="H657" s="3"/>
      <c r="I657" s="3"/>
      <c r="J657" s="3"/>
      <c r="K657" s="6"/>
      <c r="L657" s="4"/>
      <c r="M657" s="4"/>
      <c r="N657" s="8"/>
      <c r="O657" s="8"/>
      <c r="P657" s="9"/>
      <c r="Q657" s="8"/>
      <c r="R657" s="8"/>
      <c r="S657" s="9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10"/>
    </row>
    <row r="658" spans="1:39" x14ac:dyDescent="0.2">
      <c r="A658" s="2" t="str">
        <f>IF($G658="","",IF(ISERROR(MATCH($N658,Lge_Scratch!$B:$B,0)),1,0))</f>
        <v/>
      </c>
      <c r="B658" s="2" t="str">
        <f>IF($G658="","",IF(AND(LEFT($Q658,8)="Non-aero",ISERROR(MATCH($N658,Lge_NonAero!$B:$B,0))),1,0))</f>
        <v/>
      </c>
      <c r="C658" s="5" t="str">
        <f>IF($G658="","",IF(AND(LEFT($O658,3)="Wom",ISERROR(MATCH($N658,Lge_Women!$B:$B,0))),1,0))</f>
        <v/>
      </c>
      <c r="D658" s="2" t="str">
        <f>IF($G658="","",IF(AND(OR($O658="Vet",$O658="Woman Vet"),ISERROR(MATCH($N658,Lge_Vets!$B:$B,0))),1,0))</f>
        <v/>
      </c>
      <c r="E658" s="2" t="str">
        <f>IF($G658="","",IF(AND(OR($O658="Junior",$O658="Woman Junior",$O658="Youth",$O658="Woman Youth"),ISERROR(MATCH($N658,Lge_Junior!$B:$B,0))),1,0))</f>
        <v/>
      </c>
      <c r="F658" s="2" t="str">
        <f>IF($G658="","",IF(AND(LEFT($O658,3)="You",ISERROR(MATCH($N658,Lge_Youth!$B:$B,0))),1,0))</f>
        <v/>
      </c>
      <c r="G658" s="3"/>
      <c r="H658" s="3"/>
      <c r="I658" s="3"/>
      <c r="J658" s="3"/>
      <c r="K658" s="6"/>
      <c r="L658" s="4"/>
      <c r="M658" s="4"/>
      <c r="N658" s="8"/>
      <c r="O658" s="8"/>
      <c r="P658" s="9"/>
      <c r="Q658" s="8"/>
      <c r="R658" s="8"/>
      <c r="S658" s="9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10"/>
    </row>
    <row r="659" spans="1:39" x14ac:dyDescent="0.2">
      <c r="A659" s="2" t="str">
        <f>IF($G659="","",IF(ISERROR(MATCH($N659,Lge_Scratch!$B:$B,0)),1,0))</f>
        <v/>
      </c>
      <c r="B659" s="2" t="str">
        <f>IF($G659="","",IF(AND(LEFT($Q659,8)="Non-aero",ISERROR(MATCH($N659,Lge_NonAero!$B:$B,0))),1,0))</f>
        <v/>
      </c>
      <c r="C659" s="5" t="str">
        <f>IF($G659="","",IF(AND(LEFT($O659,3)="Wom",ISERROR(MATCH($N659,Lge_Women!$B:$B,0))),1,0))</f>
        <v/>
      </c>
      <c r="D659" s="2" t="str">
        <f>IF($G659="","",IF(AND(OR($O659="Vet",$O659="Woman Vet"),ISERROR(MATCH($N659,Lge_Vets!$B:$B,0))),1,0))</f>
        <v/>
      </c>
      <c r="E659" s="2" t="str">
        <f>IF($G659="","",IF(AND(OR($O659="Junior",$O659="Woman Junior",$O659="Youth",$O659="Woman Youth"),ISERROR(MATCH($N659,Lge_Junior!$B:$B,0))),1,0))</f>
        <v/>
      </c>
      <c r="F659" s="2" t="str">
        <f>IF($G659="","",IF(AND(LEFT($O659,3)="You",ISERROR(MATCH($N659,Lge_Youth!$B:$B,0))),1,0))</f>
        <v/>
      </c>
      <c r="G659" s="3"/>
      <c r="H659" s="3"/>
      <c r="I659" s="3"/>
      <c r="J659" s="3"/>
      <c r="K659" s="6"/>
      <c r="L659" s="4"/>
      <c r="M659" s="4"/>
      <c r="N659" s="8"/>
      <c r="O659" s="8"/>
      <c r="P659" s="9"/>
      <c r="Q659" s="8"/>
      <c r="R659" s="8"/>
      <c r="S659" s="9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10"/>
    </row>
    <row r="660" spans="1:39" x14ac:dyDescent="0.2">
      <c r="A660" s="2" t="str">
        <f>IF($G660="","",IF(ISERROR(MATCH($N660,Lge_Scratch!$B:$B,0)),1,0))</f>
        <v/>
      </c>
      <c r="B660" s="2" t="str">
        <f>IF($G660="","",IF(AND(LEFT($Q660,8)="Non-aero",ISERROR(MATCH($N660,Lge_NonAero!$B:$B,0))),1,0))</f>
        <v/>
      </c>
      <c r="C660" s="5" t="str">
        <f>IF($G660="","",IF(AND(LEFT($O660,3)="Wom",ISERROR(MATCH($N660,Lge_Women!$B:$B,0))),1,0))</f>
        <v/>
      </c>
      <c r="D660" s="2" t="str">
        <f>IF($G660="","",IF(AND(OR($O660="Vet",$O660="Woman Vet"),ISERROR(MATCH($N660,Lge_Vets!$B:$B,0))),1,0))</f>
        <v/>
      </c>
      <c r="E660" s="2" t="str">
        <f>IF($G660="","",IF(AND(OR($O660="Junior",$O660="Woman Junior",$O660="Youth",$O660="Woman Youth"),ISERROR(MATCH($N660,Lge_Junior!$B:$B,0))),1,0))</f>
        <v/>
      </c>
      <c r="F660" s="2" t="str">
        <f>IF($G660="","",IF(AND(LEFT($O660,3)="You",ISERROR(MATCH($N660,Lge_Youth!$B:$B,0))),1,0))</f>
        <v/>
      </c>
      <c r="G660" s="3"/>
      <c r="H660" s="3"/>
      <c r="I660" s="3"/>
      <c r="J660" s="3"/>
      <c r="K660" s="6"/>
      <c r="L660" s="4"/>
      <c r="M660" s="4"/>
      <c r="N660" s="8"/>
      <c r="O660" s="8"/>
      <c r="P660" s="9"/>
      <c r="Q660" s="8"/>
      <c r="R660" s="8"/>
      <c r="S660" s="9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10"/>
    </row>
    <row r="661" spans="1:39" x14ac:dyDescent="0.2">
      <c r="A661" s="2" t="str">
        <f>IF($G661="","",IF(ISERROR(MATCH($N661,Lge_Scratch!$B:$B,0)),1,0))</f>
        <v/>
      </c>
      <c r="B661" s="2" t="str">
        <f>IF($G661="","",IF(AND(LEFT($Q661,8)="Non-aero",ISERROR(MATCH($N661,Lge_NonAero!$B:$B,0))),1,0))</f>
        <v/>
      </c>
      <c r="C661" s="5" t="str">
        <f>IF($G661="","",IF(AND(LEFT($O661,3)="Wom",ISERROR(MATCH($N661,Lge_Women!$B:$B,0))),1,0))</f>
        <v/>
      </c>
      <c r="D661" s="2" t="str">
        <f>IF($G661="","",IF(AND(OR($O661="Vet",$O661="Woman Vet"),ISERROR(MATCH($N661,Lge_Vets!$B:$B,0))),1,0))</f>
        <v/>
      </c>
      <c r="E661" s="2" t="str">
        <f>IF($G661="","",IF(AND(OR($O661="Junior",$O661="Woman Junior",$O661="Youth",$O661="Woman Youth"),ISERROR(MATCH($N661,Lge_Junior!$B:$B,0))),1,0))</f>
        <v/>
      </c>
      <c r="F661" s="2" t="str">
        <f>IF($G661="","",IF(AND(LEFT($O661,3)="You",ISERROR(MATCH($N661,Lge_Youth!$B:$B,0))),1,0))</f>
        <v/>
      </c>
      <c r="G661" s="3"/>
      <c r="H661" s="3"/>
      <c r="I661" s="3"/>
      <c r="J661" s="3"/>
      <c r="K661" s="6"/>
      <c r="L661" s="4"/>
      <c r="M661" s="4"/>
      <c r="N661" s="8"/>
      <c r="O661" s="8"/>
      <c r="P661" s="9"/>
      <c r="Q661" s="8"/>
      <c r="R661" s="8"/>
      <c r="S661" s="9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10"/>
    </row>
    <row r="662" spans="1:39" x14ac:dyDescent="0.2">
      <c r="A662" s="2" t="str">
        <f>IF($G662="","",IF(ISERROR(MATCH($N662,Lge_Scratch!$B:$B,0)),1,0))</f>
        <v/>
      </c>
      <c r="B662" s="2" t="str">
        <f>IF($G662="","",IF(AND(LEFT($Q662,8)="Non-aero",ISERROR(MATCH($N662,Lge_NonAero!$B:$B,0))),1,0))</f>
        <v/>
      </c>
      <c r="C662" s="5" t="str">
        <f>IF($G662="","",IF(AND(LEFT($O662,3)="Wom",ISERROR(MATCH($N662,Lge_Women!$B:$B,0))),1,0))</f>
        <v/>
      </c>
      <c r="D662" s="2" t="str">
        <f>IF($G662="","",IF(AND(OR($O662="Vet",$O662="Woman Vet"),ISERROR(MATCH($N662,Lge_Vets!$B:$B,0))),1,0))</f>
        <v/>
      </c>
      <c r="E662" s="2" t="str">
        <f>IF($G662="","",IF(AND(OR($O662="Junior",$O662="Woman Junior",$O662="Youth",$O662="Woman Youth"),ISERROR(MATCH($N662,Lge_Junior!$B:$B,0))),1,0))</f>
        <v/>
      </c>
      <c r="F662" s="2" t="str">
        <f>IF($G662="","",IF(AND(LEFT($O662,3)="You",ISERROR(MATCH($N662,Lge_Youth!$B:$B,0))),1,0))</f>
        <v/>
      </c>
      <c r="G662" s="3"/>
      <c r="H662" s="3"/>
      <c r="I662" s="3"/>
      <c r="J662" s="3"/>
      <c r="K662" s="6"/>
      <c r="L662" s="4"/>
      <c r="M662" s="4"/>
      <c r="N662" s="8"/>
      <c r="O662" s="8"/>
      <c r="P662" s="9"/>
      <c r="Q662" s="8"/>
      <c r="R662" s="8"/>
      <c r="S662" s="9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10"/>
    </row>
    <row r="663" spans="1:39" x14ac:dyDescent="0.2">
      <c r="A663" s="2" t="str">
        <f>IF($G663="","",IF(ISERROR(MATCH($N663,Lge_Scratch!$B:$B,0)),1,0))</f>
        <v/>
      </c>
      <c r="B663" s="2" t="str">
        <f>IF($G663="","",IF(AND(LEFT($Q663,8)="Non-aero",ISERROR(MATCH($N663,Lge_NonAero!$B:$B,0))),1,0))</f>
        <v/>
      </c>
      <c r="C663" s="5" t="str">
        <f>IF($G663="","",IF(AND(LEFT($O663,3)="Wom",ISERROR(MATCH($N663,Lge_Women!$B:$B,0))),1,0))</f>
        <v/>
      </c>
      <c r="D663" s="2" t="str">
        <f>IF($G663="","",IF(AND(OR($O663="Vet",$O663="Woman Vet"),ISERROR(MATCH($N663,Lge_Vets!$B:$B,0))),1,0))</f>
        <v/>
      </c>
      <c r="E663" s="2" t="str">
        <f>IF($G663="","",IF(AND(OR($O663="Junior",$O663="Woman Junior",$O663="Youth",$O663="Woman Youth"),ISERROR(MATCH($N663,Lge_Junior!$B:$B,0))),1,0))</f>
        <v/>
      </c>
      <c r="F663" s="2" t="str">
        <f>IF($G663="","",IF(AND(LEFT($O663,3)="You",ISERROR(MATCH($N663,Lge_Youth!$B:$B,0))),1,0))</f>
        <v/>
      </c>
      <c r="G663" s="3"/>
      <c r="H663" s="3"/>
      <c r="I663" s="3"/>
      <c r="J663" s="3"/>
      <c r="K663" s="6"/>
      <c r="L663" s="4"/>
      <c r="M663" s="4"/>
      <c r="N663" s="8"/>
      <c r="O663" s="8"/>
      <c r="P663" s="9"/>
      <c r="Q663" s="8"/>
      <c r="R663" s="8"/>
      <c r="S663" s="9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10"/>
    </row>
    <row r="664" spans="1:39" x14ac:dyDescent="0.2">
      <c r="A664" s="2" t="str">
        <f>IF($G664="","",IF(ISERROR(MATCH($N664,Lge_Scratch!$B:$B,0)),1,0))</f>
        <v/>
      </c>
      <c r="B664" s="2" t="str">
        <f>IF($G664="","",IF(AND(LEFT($Q664,8)="Non-aero",ISERROR(MATCH($N664,Lge_NonAero!$B:$B,0))),1,0))</f>
        <v/>
      </c>
      <c r="C664" s="5" t="str">
        <f>IF($G664="","",IF(AND(LEFT($O664,3)="Wom",ISERROR(MATCH($N664,Lge_Women!$B:$B,0))),1,0))</f>
        <v/>
      </c>
      <c r="D664" s="2" t="str">
        <f>IF($G664="","",IF(AND(OR($O664="Vet",$O664="Woman Vet"),ISERROR(MATCH($N664,Lge_Vets!$B:$B,0))),1,0))</f>
        <v/>
      </c>
      <c r="E664" s="2" t="str">
        <f>IF($G664="","",IF(AND(OR($O664="Junior",$O664="Woman Junior",$O664="Youth",$O664="Woman Youth"),ISERROR(MATCH($N664,Lge_Junior!$B:$B,0))),1,0))</f>
        <v/>
      </c>
      <c r="F664" s="2" t="str">
        <f>IF($G664="","",IF(AND(LEFT($O664,3)="You",ISERROR(MATCH($N664,Lge_Youth!$B:$B,0))),1,0))</f>
        <v/>
      </c>
      <c r="G664" s="3"/>
      <c r="H664" s="3"/>
      <c r="I664" s="3"/>
      <c r="J664" s="3"/>
      <c r="K664" s="6"/>
      <c r="L664" s="4"/>
      <c r="M664" s="4"/>
      <c r="N664" s="8"/>
      <c r="O664" s="8"/>
      <c r="P664" s="9"/>
      <c r="Q664" s="8"/>
      <c r="R664" s="8"/>
      <c r="S664" s="9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10"/>
    </row>
    <row r="665" spans="1:39" x14ac:dyDescent="0.2">
      <c r="A665" s="2" t="str">
        <f>IF($G665="","",IF(ISERROR(MATCH($N665,Lge_Scratch!$B:$B,0)),1,0))</f>
        <v/>
      </c>
      <c r="B665" s="2" t="str">
        <f>IF($G665="","",IF(AND(LEFT($Q665,8)="Non-aero",ISERROR(MATCH($N665,Lge_NonAero!$B:$B,0))),1,0))</f>
        <v/>
      </c>
      <c r="C665" s="5" t="str">
        <f>IF($G665="","",IF(AND(LEFT($O665,3)="Wom",ISERROR(MATCH($N665,Lge_Women!$B:$B,0))),1,0))</f>
        <v/>
      </c>
      <c r="D665" s="2" t="str">
        <f>IF($G665="","",IF(AND(OR($O665="Vet",$O665="Woman Vet"),ISERROR(MATCH($N665,Lge_Vets!$B:$B,0))),1,0))</f>
        <v/>
      </c>
      <c r="E665" s="2" t="str">
        <f>IF($G665="","",IF(AND(OR($O665="Junior",$O665="Woman Junior",$O665="Youth",$O665="Woman Youth"),ISERROR(MATCH($N665,Lge_Junior!$B:$B,0))),1,0))</f>
        <v/>
      </c>
      <c r="F665" s="2" t="str">
        <f>IF($G665="","",IF(AND(LEFT($O665,3)="You",ISERROR(MATCH($N665,Lge_Youth!$B:$B,0))),1,0))</f>
        <v/>
      </c>
      <c r="G665" s="3"/>
      <c r="H665" s="3"/>
      <c r="I665" s="3"/>
      <c r="J665" s="3"/>
      <c r="K665" s="6"/>
      <c r="L665" s="4"/>
      <c r="M665" s="4"/>
      <c r="N665" s="8"/>
      <c r="O665" s="8"/>
      <c r="P665" s="9"/>
      <c r="Q665" s="8"/>
      <c r="R665" s="8"/>
      <c r="S665" s="9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10"/>
    </row>
    <row r="666" spans="1:39" x14ac:dyDescent="0.2">
      <c r="A666" s="2" t="str">
        <f>IF($G666="","",IF(ISERROR(MATCH($N666,Lge_Scratch!$B:$B,0)),1,0))</f>
        <v/>
      </c>
      <c r="B666" s="2" t="str">
        <f>IF($G666="","",IF(AND(LEFT($Q666,8)="Non-aero",ISERROR(MATCH($N666,Lge_NonAero!$B:$B,0))),1,0))</f>
        <v/>
      </c>
      <c r="C666" s="5" t="str">
        <f>IF($G666="","",IF(AND(LEFT($O666,3)="Wom",ISERROR(MATCH($N666,Lge_Women!$B:$B,0))),1,0))</f>
        <v/>
      </c>
      <c r="D666" s="2" t="str">
        <f>IF($G666="","",IF(AND(OR($O666="Vet",$O666="Woman Vet"),ISERROR(MATCH($N666,Lge_Vets!$B:$B,0))),1,0))</f>
        <v/>
      </c>
      <c r="E666" s="2" t="str">
        <f>IF($G666="","",IF(AND(OR($O666="Junior",$O666="Woman Junior",$O666="Youth",$O666="Woman Youth"),ISERROR(MATCH($N666,Lge_Junior!$B:$B,0))),1,0))</f>
        <v/>
      </c>
      <c r="F666" s="2" t="str">
        <f>IF($G666="","",IF(AND(LEFT($O666,3)="You",ISERROR(MATCH($N666,Lge_Youth!$B:$B,0))),1,0))</f>
        <v/>
      </c>
      <c r="G666" s="3"/>
      <c r="H666" s="3"/>
      <c r="I666" s="3"/>
      <c r="J666" s="3"/>
      <c r="K666" s="6"/>
      <c r="L666" s="4"/>
      <c r="M666" s="4"/>
      <c r="N666" s="8"/>
      <c r="O666" s="8"/>
      <c r="P666" s="9"/>
      <c r="Q666" s="8"/>
      <c r="R666" s="8"/>
      <c r="S666" s="9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10"/>
    </row>
    <row r="667" spans="1:39" x14ac:dyDescent="0.2">
      <c r="A667" s="2" t="str">
        <f>IF($G667="","",IF(ISERROR(MATCH($N667,Lge_Scratch!$B:$B,0)),1,0))</f>
        <v/>
      </c>
      <c r="B667" s="2" t="str">
        <f>IF($G667="","",IF(AND(LEFT($Q667,8)="Non-aero",ISERROR(MATCH($N667,Lge_NonAero!$B:$B,0))),1,0))</f>
        <v/>
      </c>
      <c r="C667" s="5" t="str">
        <f>IF($G667="","",IF(AND(LEFT($O667,3)="Wom",ISERROR(MATCH($N667,Lge_Women!$B:$B,0))),1,0))</f>
        <v/>
      </c>
      <c r="D667" s="2" t="str">
        <f>IF($G667="","",IF(AND(OR($O667="Vet",$O667="Woman Vet"),ISERROR(MATCH($N667,Lge_Vets!$B:$B,0))),1,0))</f>
        <v/>
      </c>
      <c r="E667" s="2" t="str">
        <f>IF($G667="","",IF(AND(OR($O667="Junior",$O667="Woman Junior",$O667="Youth",$O667="Woman Youth"),ISERROR(MATCH($N667,Lge_Junior!$B:$B,0))),1,0))</f>
        <v/>
      </c>
      <c r="F667" s="2" t="str">
        <f>IF($G667="","",IF(AND(LEFT($O667,3)="You",ISERROR(MATCH($N667,Lge_Youth!$B:$B,0))),1,0))</f>
        <v/>
      </c>
      <c r="G667" s="3"/>
      <c r="H667" s="3"/>
      <c r="I667" s="3"/>
      <c r="J667" s="3"/>
      <c r="K667" s="6"/>
      <c r="L667" s="4"/>
      <c r="M667" s="4"/>
      <c r="N667" s="8"/>
      <c r="O667" s="8"/>
      <c r="P667" s="9"/>
      <c r="Q667" s="8"/>
      <c r="R667" s="8"/>
      <c r="S667" s="9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10"/>
    </row>
    <row r="668" spans="1:39" x14ac:dyDescent="0.2">
      <c r="A668" s="2" t="str">
        <f>IF($G668="","",IF(ISERROR(MATCH($N668,Lge_Scratch!$B:$B,0)),1,0))</f>
        <v/>
      </c>
      <c r="B668" s="2" t="str">
        <f>IF($G668="","",IF(AND(LEFT($Q668,8)="Non-aero",ISERROR(MATCH($N668,Lge_NonAero!$B:$B,0))),1,0))</f>
        <v/>
      </c>
      <c r="C668" s="5" t="str">
        <f>IF($G668="","",IF(AND(LEFT($O668,3)="Wom",ISERROR(MATCH($N668,Lge_Women!$B:$B,0))),1,0))</f>
        <v/>
      </c>
      <c r="D668" s="2" t="str">
        <f>IF($G668="","",IF(AND(OR($O668="Vet",$O668="Woman Vet"),ISERROR(MATCH($N668,Lge_Vets!$B:$B,0))),1,0))</f>
        <v/>
      </c>
      <c r="E668" s="2" t="str">
        <f>IF($G668="","",IF(AND(OR($O668="Junior",$O668="Woman Junior",$O668="Youth",$O668="Woman Youth"),ISERROR(MATCH($N668,Lge_Junior!$B:$B,0))),1,0))</f>
        <v/>
      </c>
      <c r="F668" s="2" t="str">
        <f>IF($G668="","",IF(AND(LEFT($O668,3)="You",ISERROR(MATCH($N668,Lge_Youth!$B:$B,0))),1,0))</f>
        <v/>
      </c>
      <c r="G668" s="3"/>
      <c r="H668" s="3"/>
      <c r="I668" s="3"/>
      <c r="J668" s="3"/>
      <c r="K668" s="6"/>
      <c r="L668" s="4"/>
      <c r="M668" s="4"/>
      <c r="N668" s="8"/>
      <c r="O668" s="8"/>
      <c r="P668" s="9"/>
      <c r="Q668" s="8"/>
      <c r="R668" s="8"/>
      <c r="S668" s="9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10"/>
    </row>
    <row r="669" spans="1:39" x14ac:dyDescent="0.2">
      <c r="A669" s="2" t="str">
        <f>IF($G669="","",IF(ISERROR(MATCH($N669,Lge_Scratch!$B:$B,0)),1,0))</f>
        <v/>
      </c>
      <c r="B669" s="2" t="str">
        <f>IF($G669="","",IF(AND(LEFT($Q669,8)="Non-aero",ISERROR(MATCH($N669,Lge_NonAero!$B:$B,0))),1,0))</f>
        <v/>
      </c>
      <c r="C669" s="5" t="str">
        <f>IF($G669="","",IF(AND(LEFT($O669,3)="Wom",ISERROR(MATCH($N669,Lge_Women!$B:$B,0))),1,0))</f>
        <v/>
      </c>
      <c r="D669" s="2" t="str">
        <f>IF($G669="","",IF(AND(OR($O669="Vet",$O669="Woman Vet"),ISERROR(MATCH($N669,Lge_Vets!$B:$B,0))),1,0))</f>
        <v/>
      </c>
      <c r="E669" s="2" t="str">
        <f>IF($G669="","",IF(AND(OR($O669="Junior",$O669="Woman Junior",$O669="Youth",$O669="Woman Youth"),ISERROR(MATCH($N669,Lge_Junior!$B:$B,0))),1,0))</f>
        <v/>
      </c>
      <c r="F669" s="2" t="str">
        <f>IF($G669="","",IF(AND(LEFT($O669,3)="You",ISERROR(MATCH($N669,Lge_Youth!$B:$B,0))),1,0))</f>
        <v/>
      </c>
      <c r="G669" s="3"/>
      <c r="H669" s="3"/>
      <c r="I669" s="3"/>
      <c r="J669" s="3"/>
      <c r="K669" s="6"/>
      <c r="L669" s="4"/>
      <c r="M669" s="4"/>
      <c r="N669" s="8"/>
      <c r="O669" s="8"/>
      <c r="P669" s="9"/>
      <c r="Q669" s="8"/>
      <c r="R669" s="8"/>
      <c r="S669" s="9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10"/>
    </row>
    <row r="670" spans="1:39" x14ac:dyDescent="0.2">
      <c r="A670" s="2" t="str">
        <f>IF($G670="","",IF(ISERROR(MATCH($N670,Lge_Scratch!$B:$B,0)),1,0))</f>
        <v/>
      </c>
      <c r="B670" s="2" t="str">
        <f>IF($G670="","",IF(AND(LEFT($Q670,8)="Non-aero",ISERROR(MATCH($N670,Lge_NonAero!$B:$B,0))),1,0))</f>
        <v/>
      </c>
      <c r="C670" s="5" t="str">
        <f>IF($G670="","",IF(AND(LEFT($O670,3)="Wom",ISERROR(MATCH($N670,Lge_Women!$B:$B,0))),1,0))</f>
        <v/>
      </c>
      <c r="D670" s="2" t="str">
        <f>IF($G670="","",IF(AND(OR($O670="Vet",$O670="Woman Vet"),ISERROR(MATCH($N670,Lge_Vets!$B:$B,0))),1,0))</f>
        <v/>
      </c>
      <c r="E670" s="2" t="str">
        <f>IF($G670="","",IF(AND(OR($O670="Junior",$O670="Woman Junior",$O670="Youth",$O670="Woman Youth"),ISERROR(MATCH($N670,Lge_Junior!$B:$B,0))),1,0))</f>
        <v/>
      </c>
      <c r="F670" s="2" t="str">
        <f>IF($G670="","",IF(AND(LEFT($O670,3)="You",ISERROR(MATCH($N670,Lge_Youth!$B:$B,0))),1,0))</f>
        <v/>
      </c>
      <c r="G670" s="3"/>
      <c r="H670" s="3"/>
      <c r="I670" s="3"/>
      <c r="J670" s="3"/>
      <c r="K670" s="6"/>
      <c r="L670" s="4"/>
      <c r="M670" s="4"/>
      <c r="N670" s="8"/>
      <c r="O670" s="8"/>
      <c r="P670" s="9"/>
      <c r="Q670" s="8"/>
      <c r="R670" s="8"/>
      <c r="S670" s="9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10"/>
    </row>
    <row r="671" spans="1:39" x14ac:dyDescent="0.2">
      <c r="A671" s="2" t="str">
        <f>IF($G671="","",IF(ISERROR(MATCH($N671,Lge_Scratch!$B:$B,0)),1,0))</f>
        <v/>
      </c>
      <c r="B671" s="2" t="str">
        <f>IF($G671="","",IF(AND(LEFT($Q671,8)="Non-aero",ISERROR(MATCH($N671,Lge_NonAero!$B:$B,0))),1,0))</f>
        <v/>
      </c>
      <c r="C671" s="5" t="str">
        <f>IF($G671="","",IF(AND(LEFT($O671,3)="Wom",ISERROR(MATCH($N671,Lge_Women!$B:$B,0))),1,0))</f>
        <v/>
      </c>
      <c r="D671" s="2" t="str">
        <f>IF($G671="","",IF(AND(OR($O671="Vet",$O671="Woman Vet"),ISERROR(MATCH($N671,Lge_Vets!$B:$B,0))),1,0))</f>
        <v/>
      </c>
      <c r="E671" s="2" t="str">
        <f>IF($G671="","",IF(AND(OR($O671="Junior",$O671="Woman Junior",$O671="Youth",$O671="Woman Youth"),ISERROR(MATCH($N671,Lge_Junior!$B:$B,0))),1,0))</f>
        <v/>
      </c>
      <c r="F671" s="2" t="str">
        <f>IF($G671="","",IF(AND(LEFT($O671,3)="You",ISERROR(MATCH($N671,Lge_Youth!$B:$B,0))),1,0))</f>
        <v/>
      </c>
      <c r="G671" s="3"/>
      <c r="H671" s="3"/>
      <c r="I671" s="3"/>
      <c r="J671" s="3"/>
      <c r="K671" s="6"/>
      <c r="L671" s="4"/>
      <c r="M671" s="4"/>
      <c r="N671" s="8"/>
      <c r="O671" s="8"/>
      <c r="P671" s="9"/>
      <c r="Q671" s="8"/>
      <c r="R671" s="8"/>
      <c r="S671" s="9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10"/>
    </row>
    <row r="672" spans="1:39" x14ac:dyDescent="0.2">
      <c r="A672" s="2" t="str">
        <f>IF($G672="","",IF(ISERROR(MATCH($N672,Lge_Scratch!$B:$B,0)),1,0))</f>
        <v/>
      </c>
      <c r="B672" s="2" t="str">
        <f>IF($G672="","",IF(AND(LEFT($Q672,8)="Non-aero",ISERROR(MATCH($N672,Lge_NonAero!$B:$B,0))),1,0))</f>
        <v/>
      </c>
      <c r="C672" s="5" t="str">
        <f>IF($G672="","",IF(AND(LEFT($O672,3)="Wom",ISERROR(MATCH($N672,Lge_Women!$B:$B,0))),1,0))</f>
        <v/>
      </c>
      <c r="D672" s="2" t="str">
        <f>IF($G672="","",IF(AND(OR($O672="Vet",$O672="Woman Vet"),ISERROR(MATCH($N672,Lge_Vets!$B:$B,0))),1,0))</f>
        <v/>
      </c>
      <c r="E672" s="2" t="str">
        <f>IF($G672="","",IF(AND(OR($O672="Junior",$O672="Woman Junior",$O672="Youth",$O672="Woman Youth"),ISERROR(MATCH($N672,Lge_Junior!$B:$B,0))),1,0))</f>
        <v/>
      </c>
      <c r="F672" s="2" t="str">
        <f>IF($G672="","",IF(AND(LEFT($O672,3)="You",ISERROR(MATCH($N672,Lge_Youth!$B:$B,0))),1,0))</f>
        <v/>
      </c>
      <c r="G672" s="3"/>
      <c r="H672" s="3"/>
      <c r="I672" s="3"/>
      <c r="J672" s="3"/>
      <c r="K672" s="6"/>
      <c r="L672" s="4"/>
      <c r="M672" s="4"/>
      <c r="N672" s="8"/>
      <c r="O672" s="8"/>
      <c r="P672" s="9"/>
      <c r="Q672" s="8"/>
      <c r="R672" s="8"/>
      <c r="S672" s="9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10"/>
    </row>
    <row r="673" spans="1:39" x14ac:dyDescent="0.2">
      <c r="A673" s="2" t="str">
        <f>IF($G673="","",IF(ISERROR(MATCH($N673,Lge_Scratch!$B:$B,0)),1,0))</f>
        <v/>
      </c>
      <c r="B673" s="2" t="str">
        <f>IF($G673="","",IF(AND(LEFT($Q673,8)="Non-aero",ISERROR(MATCH($N673,Lge_NonAero!$B:$B,0))),1,0))</f>
        <v/>
      </c>
      <c r="C673" s="5" t="str">
        <f>IF($G673="","",IF(AND(LEFT($O673,3)="Wom",ISERROR(MATCH($N673,Lge_Women!$B:$B,0))),1,0))</f>
        <v/>
      </c>
      <c r="D673" s="2" t="str">
        <f>IF($G673="","",IF(AND(OR($O673="Vet",$O673="Woman Vet"),ISERROR(MATCH($N673,Lge_Vets!$B:$B,0))),1,0))</f>
        <v/>
      </c>
      <c r="E673" s="2" t="str">
        <f>IF($G673="","",IF(AND(OR($O673="Junior",$O673="Woman Junior",$O673="Youth",$O673="Woman Youth"),ISERROR(MATCH($N673,Lge_Junior!$B:$B,0))),1,0))</f>
        <v/>
      </c>
      <c r="F673" s="2" t="str">
        <f>IF($G673="","",IF(AND(LEFT($O673,3)="You",ISERROR(MATCH($N673,Lge_Youth!$B:$B,0))),1,0))</f>
        <v/>
      </c>
      <c r="G673" s="3"/>
      <c r="H673" s="3"/>
      <c r="I673" s="3"/>
      <c r="J673" s="3"/>
      <c r="K673" s="6"/>
      <c r="L673" s="4"/>
      <c r="M673" s="4"/>
      <c r="N673" s="8"/>
      <c r="O673" s="8"/>
      <c r="P673" s="9"/>
      <c r="Q673" s="8"/>
      <c r="R673" s="8"/>
      <c r="S673" s="9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10"/>
    </row>
    <row r="674" spans="1:39" x14ac:dyDescent="0.2">
      <c r="A674" s="2" t="str">
        <f>IF($G674="","",IF(ISERROR(MATCH($N674,Lge_Scratch!$B:$B,0)),1,0))</f>
        <v/>
      </c>
      <c r="B674" s="2" t="str">
        <f>IF($G674="","",IF(AND(LEFT($Q674,8)="Non-aero",ISERROR(MATCH($N674,Lge_NonAero!$B:$B,0))),1,0))</f>
        <v/>
      </c>
      <c r="C674" s="5" t="str">
        <f>IF($G674="","",IF(AND(LEFT($O674,3)="Wom",ISERROR(MATCH($N674,Lge_Women!$B:$B,0))),1,0))</f>
        <v/>
      </c>
      <c r="D674" s="2" t="str">
        <f>IF($G674="","",IF(AND(OR($O674="Vet",$O674="Woman Vet"),ISERROR(MATCH($N674,Lge_Vets!$B:$B,0))),1,0))</f>
        <v/>
      </c>
      <c r="E674" s="2" t="str">
        <f>IF($G674="","",IF(AND(OR($O674="Junior",$O674="Woman Junior",$O674="Youth",$O674="Woman Youth"),ISERROR(MATCH($N674,Lge_Junior!$B:$B,0))),1,0))</f>
        <v/>
      </c>
      <c r="F674" s="2" t="str">
        <f>IF($G674="","",IF(AND(LEFT($O674,3)="You",ISERROR(MATCH($N674,Lge_Youth!$B:$B,0))),1,0))</f>
        <v/>
      </c>
      <c r="G674" s="3"/>
      <c r="H674" s="3"/>
      <c r="I674" s="3"/>
      <c r="J674" s="3"/>
      <c r="K674" s="6"/>
      <c r="L674" s="4"/>
      <c r="M674" s="4"/>
      <c r="N674" s="8"/>
      <c r="O674" s="8"/>
      <c r="P674" s="9"/>
      <c r="Q674" s="8"/>
      <c r="R674" s="8"/>
      <c r="S674" s="9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10"/>
    </row>
    <row r="675" spans="1:39" x14ac:dyDescent="0.2">
      <c r="A675" s="2" t="str">
        <f>IF($G675="","",IF(ISERROR(MATCH($N675,Lge_Scratch!$B:$B,0)),1,0))</f>
        <v/>
      </c>
      <c r="B675" s="2" t="str">
        <f>IF($G675="","",IF(AND(LEFT($Q675,8)="Non-aero",ISERROR(MATCH($N675,Lge_NonAero!$B:$B,0))),1,0))</f>
        <v/>
      </c>
      <c r="C675" s="5" t="str">
        <f>IF($G675="","",IF(AND(LEFT($O675,3)="Wom",ISERROR(MATCH($N675,Lge_Women!$B:$B,0))),1,0))</f>
        <v/>
      </c>
      <c r="D675" s="2" t="str">
        <f>IF($G675="","",IF(AND(OR($O675="Vet",$O675="Woman Vet"),ISERROR(MATCH($N675,Lge_Vets!$B:$B,0))),1,0))</f>
        <v/>
      </c>
      <c r="E675" s="2" t="str">
        <f>IF($G675="","",IF(AND(OR($O675="Junior",$O675="Woman Junior",$O675="Youth",$O675="Woman Youth"),ISERROR(MATCH($N675,Lge_Junior!$B:$B,0))),1,0))</f>
        <v/>
      </c>
      <c r="F675" s="2" t="str">
        <f>IF($G675="","",IF(AND(LEFT($O675,3)="You",ISERROR(MATCH($N675,Lge_Youth!$B:$B,0))),1,0))</f>
        <v/>
      </c>
      <c r="G675" s="3"/>
      <c r="H675" s="3"/>
      <c r="I675" s="3"/>
      <c r="J675" s="3"/>
      <c r="K675" s="6"/>
      <c r="L675" s="4"/>
      <c r="M675" s="4"/>
      <c r="N675" s="8"/>
      <c r="O675" s="8"/>
      <c r="P675" s="9"/>
      <c r="Q675" s="8"/>
      <c r="R675" s="8"/>
      <c r="S675" s="9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10"/>
    </row>
    <row r="676" spans="1:39" x14ac:dyDescent="0.2">
      <c r="A676" s="2" t="str">
        <f>IF($G676="","",IF(ISERROR(MATCH($N676,Lge_Scratch!$B:$B,0)),1,0))</f>
        <v/>
      </c>
      <c r="B676" s="2" t="str">
        <f>IF($G676="","",IF(AND(LEFT($Q676,8)="Non-aero",ISERROR(MATCH($N676,Lge_NonAero!$B:$B,0))),1,0))</f>
        <v/>
      </c>
      <c r="C676" s="5" t="str">
        <f>IF($G676="","",IF(AND(LEFT($O676,3)="Wom",ISERROR(MATCH($N676,Lge_Women!$B:$B,0))),1,0))</f>
        <v/>
      </c>
      <c r="D676" s="2" t="str">
        <f>IF($G676="","",IF(AND(OR($O676="Vet",$O676="Woman Vet"),ISERROR(MATCH($N676,Lge_Vets!$B:$B,0))),1,0))</f>
        <v/>
      </c>
      <c r="E676" s="2" t="str">
        <f>IF($G676="","",IF(AND(OR($O676="Junior",$O676="Woman Junior",$O676="Youth",$O676="Woman Youth"),ISERROR(MATCH($N676,Lge_Junior!$B:$B,0))),1,0))</f>
        <v/>
      </c>
      <c r="F676" s="2" t="str">
        <f>IF($G676="","",IF(AND(LEFT($O676,3)="You",ISERROR(MATCH($N676,Lge_Youth!$B:$B,0))),1,0))</f>
        <v/>
      </c>
      <c r="G676" s="3"/>
      <c r="H676" s="3"/>
      <c r="I676" s="3"/>
      <c r="J676" s="3"/>
      <c r="K676" s="6"/>
      <c r="L676" s="4"/>
      <c r="M676" s="4"/>
      <c r="N676" s="8"/>
      <c r="O676" s="8"/>
      <c r="P676" s="9"/>
      <c r="Q676" s="8"/>
      <c r="R676" s="8"/>
      <c r="S676" s="9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10"/>
    </row>
    <row r="677" spans="1:39" x14ac:dyDescent="0.2">
      <c r="A677" s="2" t="str">
        <f>IF($G677="","",IF(ISERROR(MATCH($N677,Lge_Scratch!$B:$B,0)),1,0))</f>
        <v/>
      </c>
      <c r="B677" s="2" t="str">
        <f>IF($G677="","",IF(AND(LEFT($Q677,8)="Non-aero",ISERROR(MATCH($N677,Lge_NonAero!$B:$B,0))),1,0))</f>
        <v/>
      </c>
      <c r="C677" s="5" t="str">
        <f>IF($G677="","",IF(AND(LEFT($O677,3)="Wom",ISERROR(MATCH($N677,Lge_Women!$B:$B,0))),1,0))</f>
        <v/>
      </c>
      <c r="D677" s="2" t="str">
        <f>IF($G677="","",IF(AND(OR($O677="Vet",$O677="Woman Vet"),ISERROR(MATCH($N677,Lge_Vets!$B:$B,0))),1,0))</f>
        <v/>
      </c>
      <c r="E677" s="2" t="str">
        <f>IF($G677="","",IF(AND(OR($O677="Junior",$O677="Woman Junior",$O677="Youth",$O677="Woman Youth"),ISERROR(MATCH($N677,Lge_Junior!$B:$B,0))),1,0))</f>
        <v/>
      </c>
      <c r="F677" s="2" t="str">
        <f>IF($G677="","",IF(AND(LEFT($O677,3)="You",ISERROR(MATCH($N677,Lge_Youth!$B:$B,0))),1,0))</f>
        <v/>
      </c>
      <c r="G677" s="3"/>
      <c r="H677" s="3"/>
      <c r="I677" s="3"/>
      <c r="J677" s="3"/>
      <c r="K677" s="6"/>
      <c r="L677" s="4"/>
      <c r="M677" s="4"/>
      <c r="N677" s="8"/>
      <c r="O677" s="8"/>
      <c r="P677" s="9"/>
      <c r="Q677" s="8"/>
      <c r="R677" s="8"/>
      <c r="S677" s="9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10"/>
    </row>
    <row r="678" spans="1:39" x14ac:dyDescent="0.2">
      <c r="A678" s="2" t="str">
        <f>IF($G678="","",IF(ISERROR(MATCH($N678,Lge_Scratch!$B:$B,0)),1,0))</f>
        <v/>
      </c>
      <c r="B678" s="2" t="str">
        <f>IF($G678="","",IF(AND(LEFT($Q678,8)="Non-aero",ISERROR(MATCH($N678,Lge_NonAero!$B:$B,0))),1,0))</f>
        <v/>
      </c>
      <c r="C678" s="5" t="str">
        <f>IF($G678="","",IF(AND(LEFT($O678,3)="Wom",ISERROR(MATCH($N678,Lge_Women!$B:$B,0))),1,0))</f>
        <v/>
      </c>
      <c r="D678" s="2" t="str">
        <f>IF($G678="","",IF(AND(OR($O678="Vet",$O678="Woman Vet"),ISERROR(MATCH($N678,Lge_Vets!$B:$B,0))),1,0))</f>
        <v/>
      </c>
      <c r="E678" s="2" t="str">
        <f>IF($G678="","",IF(AND(OR($O678="Junior",$O678="Woman Junior",$O678="Youth",$O678="Woman Youth"),ISERROR(MATCH($N678,Lge_Junior!$B:$B,0))),1,0))</f>
        <v/>
      </c>
      <c r="F678" s="2" t="str">
        <f>IF($G678="","",IF(AND(LEFT($O678,3)="You",ISERROR(MATCH($N678,Lge_Youth!$B:$B,0))),1,0))</f>
        <v/>
      </c>
      <c r="G678" s="3"/>
      <c r="H678" s="3"/>
      <c r="I678" s="3"/>
      <c r="J678" s="3"/>
      <c r="K678" s="6"/>
      <c r="L678" s="4"/>
      <c r="M678" s="4"/>
      <c r="N678" s="8"/>
      <c r="O678" s="8"/>
      <c r="P678" s="9"/>
      <c r="Q678" s="8"/>
      <c r="R678" s="8"/>
      <c r="S678" s="9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10"/>
    </row>
    <row r="679" spans="1:39" x14ac:dyDescent="0.2">
      <c r="A679" s="2" t="str">
        <f>IF($G679="","",IF(ISERROR(MATCH($N679,Lge_Scratch!$B:$B,0)),1,0))</f>
        <v/>
      </c>
      <c r="B679" s="2" t="str">
        <f>IF($G679="","",IF(AND(LEFT($Q679,8)="Non-aero",ISERROR(MATCH($N679,Lge_NonAero!$B:$B,0))),1,0))</f>
        <v/>
      </c>
      <c r="C679" s="5" t="str">
        <f>IF($G679="","",IF(AND(LEFT($O679,3)="Wom",ISERROR(MATCH($N679,Lge_Women!$B:$B,0))),1,0))</f>
        <v/>
      </c>
      <c r="D679" s="2" t="str">
        <f>IF($G679="","",IF(AND(OR($O679="Vet",$O679="Woman Vet"),ISERROR(MATCH($N679,Lge_Vets!$B:$B,0))),1,0))</f>
        <v/>
      </c>
      <c r="E679" s="2" t="str">
        <f>IF($G679="","",IF(AND(OR($O679="Junior",$O679="Woman Junior",$O679="Youth",$O679="Woman Youth"),ISERROR(MATCH($N679,Lge_Junior!$B:$B,0))),1,0))</f>
        <v/>
      </c>
      <c r="F679" s="2" t="str">
        <f>IF($G679="","",IF(AND(LEFT($O679,3)="You",ISERROR(MATCH($N679,Lge_Youth!$B:$B,0))),1,0))</f>
        <v/>
      </c>
      <c r="G679" s="3"/>
      <c r="H679" s="3"/>
      <c r="I679" s="3"/>
      <c r="J679" s="3"/>
      <c r="K679" s="6"/>
      <c r="L679" s="4"/>
      <c r="M679" s="4"/>
      <c r="N679" s="8"/>
      <c r="O679" s="8"/>
      <c r="P679" s="9"/>
      <c r="Q679" s="8"/>
      <c r="R679" s="8"/>
      <c r="S679" s="9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10"/>
    </row>
    <row r="680" spans="1:39" x14ac:dyDescent="0.2">
      <c r="A680" s="2" t="str">
        <f>IF($G680="","",IF(ISERROR(MATCH($N680,Lge_Scratch!$B:$B,0)),1,0))</f>
        <v/>
      </c>
      <c r="B680" s="2" t="str">
        <f>IF($G680="","",IF(AND(LEFT($Q680,8)="Non-aero",ISERROR(MATCH($N680,Lge_NonAero!$B:$B,0))),1,0))</f>
        <v/>
      </c>
      <c r="C680" s="5" t="str">
        <f>IF($G680="","",IF(AND(LEFT($O680,3)="Wom",ISERROR(MATCH($N680,Lge_Women!$B:$B,0))),1,0))</f>
        <v/>
      </c>
      <c r="D680" s="2" t="str">
        <f>IF($G680="","",IF(AND(OR($O680="Vet",$O680="Woman Vet"),ISERROR(MATCH($N680,Lge_Vets!$B:$B,0))),1,0))</f>
        <v/>
      </c>
      <c r="E680" s="2" t="str">
        <f>IF($G680="","",IF(AND(OR($O680="Junior",$O680="Woman Junior",$O680="Youth",$O680="Woman Youth"),ISERROR(MATCH($N680,Lge_Junior!$B:$B,0))),1,0))</f>
        <v/>
      </c>
      <c r="F680" s="2" t="str">
        <f>IF($G680="","",IF(AND(LEFT($O680,3)="You",ISERROR(MATCH($N680,Lge_Youth!$B:$B,0))),1,0))</f>
        <v/>
      </c>
      <c r="G680" s="3"/>
      <c r="H680" s="3"/>
      <c r="I680" s="3"/>
      <c r="J680" s="3"/>
      <c r="K680" s="6"/>
      <c r="L680" s="4"/>
      <c r="M680" s="4"/>
      <c r="N680" s="8"/>
      <c r="O680" s="8"/>
      <c r="P680" s="9"/>
      <c r="Q680" s="8"/>
      <c r="R680" s="8"/>
      <c r="S680" s="9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10"/>
    </row>
    <row r="681" spans="1:39" x14ac:dyDescent="0.2">
      <c r="A681" s="2" t="str">
        <f>IF($G681="","",IF(ISERROR(MATCH($N681,Lge_Scratch!$B:$B,0)),1,0))</f>
        <v/>
      </c>
      <c r="B681" s="2" t="str">
        <f>IF($G681="","",IF(AND(LEFT($Q681,8)="Non-aero",ISERROR(MATCH($N681,Lge_NonAero!$B:$B,0))),1,0))</f>
        <v/>
      </c>
      <c r="C681" s="5" t="str">
        <f>IF($G681="","",IF(AND(LEFT($O681,3)="Wom",ISERROR(MATCH($N681,Lge_Women!$B:$B,0))),1,0))</f>
        <v/>
      </c>
      <c r="D681" s="2" t="str">
        <f>IF($G681="","",IF(AND(OR($O681="Vet",$O681="Woman Vet"),ISERROR(MATCH($N681,Lge_Vets!$B:$B,0))),1,0))</f>
        <v/>
      </c>
      <c r="E681" s="2" t="str">
        <f>IF($G681="","",IF(AND(OR($O681="Junior",$O681="Woman Junior",$O681="Youth",$O681="Woman Youth"),ISERROR(MATCH($N681,Lge_Junior!$B:$B,0))),1,0))</f>
        <v/>
      </c>
      <c r="F681" s="2" t="str">
        <f>IF($G681="","",IF(AND(LEFT($O681,3)="You",ISERROR(MATCH($N681,Lge_Youth!$B:$B,0))),1,0))</f>
        <v/>
      </c>
      <c r="G681" s="3"/>
      <c r="H681" s="3"/>
      <c r="I681" s="3"/>
      <c r="J681" s="3"/>
      <c r="K681" s="6"/>
      <c r="L681" s="4"/>
      <c r="M681" s="4"/>
      <c r="N681" s="8"/>
      <c r="O681" s="8"/>
      <c r="P681" s="9"/>
      <c r="Q681" s="8"/>
      <c r="R681" s="8"/>
      <c r="S681" s="9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10"/>
    </row>
    <row r="682" spans="1:39" x14ac:dyDescent="0.2">
      <c r="A682" s="2" t="str">
        <f>IF($G682="","",IF(ISERROR(MATCH($N682,Lge_Scratch!$B:$B,0)),1,0))</f>
        <v/>
      </c>
      <c r="B682" s="2" t="str">
        <f>IF($G682="","",IF(AND(LEFT($Q682,8)="Non-aero",ISERROR(MATCH($N682,Lge_NonAero!$B:$B,0))),1,0))</f>
        <v/>
      </c>
      <c r="C682" s="5" t="str">
        <f>IF($G682="","",IF(AND(LEFT($O682,3)="Wom",ISERROR(MATCH($N682,Lge_Women!$B:$B,0))),1,0))</f>
        <v/>
      </c>
      <c r="D682" s="2" t="str">
        <f>IF($G682="","",IF(AND(OR($O682="Vet",$O682="Woman Vet"),ISERROR(MATCH($N682,Lge_Vets!$B:$B,0))),1,0))</f>
        <v/>
      </c>
      <c r="E682" s="2" t="str">
        <f>IF($G682="","",IF(AND(OR($O682="Junior",$O682="Woman Junior",$O682="Youth",$O682="Woman Youth"),ISERROR(MATCH($N682,Lge_Junior!$B:$B,0))),1,0))</f>
        <v/>
      </c>
      <c r="F682" s="2" t="str">
        <f>IF($G682="","",IF(AND(LEFT($O682,3)="You",ISERROR(MATCH($N682,Lge_Youth!$B:$B,0))),1,0))</f>
        <v/>
      </c>
      <c r="G682" s="3"/>
      <c r="H682" s="3"/>
      <c r="I682" s="3"/>
      <c r="J682" s="3"/>
      <c r="K682" s="6"/>
      <c r="L682" s="4"/>
      <c r="M682" s="4"/>
      <c r="N682" s="8"/>
      <c r="O682" s="8"/>
      <c r="P682" s="9"/>
      <c r="Q682" s="8"/>
      <c r="R682" s="8"/>
      <c r="S682" s="9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10"/>
    </row>
    <row r="683" spans="1:39" x14ac:dyDescent="0.2">
      <c r="A683" s="2" t="str">
        <f>IF($G683="","",IF(ISERROR(MATCH($N683,Lge_Scratch!$B:$B,0)),1,0))</f>
        <v/>
      </c>
      <c r="B683" s="2" t="str">
        <f>IF($G683="","",IF(AND(LEFT($Q683,8)="Non-aero",ISERROR(MATCH($N683,Lge_NonAero!$B:$B,0))),1,0))</f>
        <v/>
      </c>
      <c r="C683" s="5" t="str">
        <f>IF($G683="","",IF(AND(LEFT($O683,3)="Wom",ISERROR(MATCH($N683,Lge_Women!$B:$B,0))),1,0))</f>
        <v/>
      </c>
      <c r="D683" s="2" t="str">
        <f>IF($G683="","",IF(AND(OR($O683="Vet",$O683="Woman Vet"),ISERROR(MATCH($N683,Lge_Vets!$B:$B,0))),1,0))</f>
        <v/>
      </c>
      <c r="E683" s="2" t="str">
        <f>IF($G683="","",IF(AND(OR($O683="Junior",$O683="Woman Junior",$O683="Youth",$O683="Woman Youth"),ISERROR(MATCH($N683,Lge_Junior!$B:$B,0))),1,0))</f>
        <v/>
      </c>
      <c r="F683" s="2" t="str">
        <f>IF($G683="","",IF(AND(LEFT($O683,3)="You",ISERROR(MATCH($N683,Lge_Youth!$B:$B,0))),1,0))</f>
        <v/>
      </c>
      <c r="G683" s="3"/>
      <c r="H683" s="3"/>
      <c r="I683" s="3"/>
      <c r="J683" s="3"/>
      <c r="K683" s="6"/>
      <c r="L683" s="4"/>
      <c r="M683" s="4"/>
      <c r="N683" s="8"/>
      <c r="O683" s="8"/>
      <c r="P683" s="9"/>
      <c r="Q683" s="8"/>
      <c r="R683" s="8"/>
      <c r="S683" s="9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10"/>
    </row>
    <row r="684" spans="1:39" x14ac:dyDescent="0.2">
      <c r="A684" s="2" t="str">
        <f>IF($G684="","",IF(ISERROR(MATCH($N684,Lge_Scratch!$B:$B,0)),1,0))</f>
        <v/>
      </c>
      <c r="B684" s="2" t="str">
        <f>IF($G684="","",IF(AND(LEFT($Q684,8)="Non-aero",ISERROR(MATCH($N684,Lge_NonAero!$B:$B,0))),1,0))</f>
        <v/>
      </c>
      <c r="C684" s="5" t="str">
        <f>IF($G684="","",IF(AND(LEFT($O684,3)="Wom",ISERROR(MATCH($N684,Lge_Women!$B:$B,0))),1,0))</f>
        <v/>
      </c>
      <c r="D684" s="2" t="str">
        <f>IF($G684="","",IF(AND(OR($O684="Vet",$O684="Woman Vet"),ISERROR(MATCH($N684,Lge_Vets!$B:$B,0))),1,0))</f>
        <v/>
      </c>
      <c r="E684" s="2" t="str">
        <f>IF($G684="","",IF(AND(OR($O684="Junior",$O684="Woman Junior",$O684="Youth",$O684="Woman Youth"),ISERROR(MATCH($N684,Lge_Junior!$B:$B,0))),1,0))</f>
        <v/>
      </c>
      <c r="F684" s="2" t="str">
        <f>IF($G684="","",IF(AND(LEFT($O684,3)="You",ISERROR(MATCH($N684,Lge_Youth!$B:$B,0))),1,0))</f>
        <v/>
      </c>
      <c r="G684" s="3"/>
      <c r="H684" s="3"/>
      <c r="I684" s="3"/>
      <c r="J684" s="3"/>
      <c r="K684" s="6"/>
      <c r="L684" s="4"/>
      <c r="M684" s="4"/>
      <c r="N684" s="8"/>
      <c r="O684" s="8"/>
      <c r="P684" s="9"/>
      <c r="Q684" s="8"/>
      <c r="R684" s="8"/>
      <c r="S684" s="9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10"/>
    </row>
    <row r="685" spans="1:39" x14ac:dyDescent="0.2">
      <c r="A685" s="2" t="str">
        <f>IF($G685="","",IF(ISERROR(MATCH($N685,Lge_Scratch!$B:$B,0)),1,0))</f>
        <v/>
      </c>
      <c r="B685" s="2" t="str">
        <f>IF($G685="","",IF(AND(LEFT($Q685,8)="Non-aero",ISERROR(MATCH($N685,Lge_NonAero!$B:$B,0))),1,0))</f>
        <v/>
      </c>
      <c r="C685" s="5" t="str">
        <f>IF($G685="","",IF(AND(LEFT($O685,3)="Wom",ISERROR(MATCH($N685,Lge_Women!$B:$B,0))),1,0))</f>
        <v/>
      </c>
      <c r="D685" s="2" t="str">
        <f>IF($G685="","",IF(AND(OR($O685="Vet",$O685="Woman Vet"),ISERROR(MATCH($N685,Lge_Vets!$B:$B,0))),1,0))</f>
        <v/>
      </c>
      <c r="E685" s="2" t="str">
        <f>IF($G685="","",IF(AND(OR($O685="Junior",$O685="Woman Junior",$O685="Youth",$O685="Woman Youth"),ISERROR(MATCH($N685,Lge_Junior!$B:$B,0))),1,0))</f>
        <v/>
      </c>
      <c r="F685" s="2" t="str">
        <f>IF($G685="","",IF(AND(LEFT($O685,3)="You",ISERROR(MATCH($N685,Lge_Youth!$B:$B,0))),1,0))</f>
        <v/>
      </c>
      <c r="G685" s="3"/>
      <c r="H685" s="3"/>
      <c r="I685" s="3"/>
      <c r="J685" s="3"/>
      <c r="K685" s="6"/>
      <c r="L685" s="4"/>
      <c r="M685" s="4"/>
      <c r="N685" s="8"/>
      <c r="O685" s="8"/>
      <c r="P685" s="9"/>
      <c r="Q685" s="8"/>
      <c r="R685" s="8"/>
      <c r="S685" s="9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10"/>
    </row>
    <row r="686" spans="1:39" x14ac:dyDescent="0.2">
      <c r="A686" s="2" t="str">
        <f>IF($G686="","",IF(ISERROR(MATCH($N686,Lge_Scratch!$B:$B,0)),1,0))</f>
        <v/>
      </c>
      <c r="B686" s="2" t="str">
        <f>IF($G686="","",IF(AND(LEFT($Q686,8)="Non-aero",ISERROR(MATCH($N686,Lge_NonAero!$B:$B,0))),1,0))</f>
        <v/>
      </c>
      <c r="C686" s="5" t="str">
        <f>IF($G686="","",IF(AND(LEFT($O686,3)="Wom",ISERROR(MATCH($N686,Lge_Women!$B:$B,0))),1,0))</f>
        <v/>
      </c>
      <c r="D686" s="2" t="str">
        <f>IF($G686="","",IF(AND(OR($O686="Vet",$O686="Woman Vet"),ISERROR(MATCH($N686,Lge_Vets!$B:$B,0))),1,0))</f>
        <v/>
      </c>
      <c r="E686" s="2" t="str">
        <f>IF($G686="","",IF(AND(OR($O686="Junior",$O686="Woman Junior",$O686="Youth",$O686="Woman Youth"),ISERROR(MATCH($N686,Lge_Junior!$B:$B,0))),1,0))</f>
        <v/>
      </c>
      <c r="F686" s="2" t="str">
        <f>IF($G686="","",IF(AND(LEFT($O686,3)="You",ISERROR(MATCH($N686,Lge_Youth!$B:$B,0))),1,0))</f>
        <v/>
      </c>
      <c r="G686" s="3"/>
      <c r="H686" s="3"/>
      <c r="I686" s="3"/>
      <c r="J686" s="3"/>
      <c r="K686" s="6"/>
      <c r="L686" s="4"/>
      <c r="M686" s="4"/>
      <c r="N686" s="8"/>
      <c r="O686" s="8"/>
      <c r="P686" s="9"/>
      <c r="Q686" s="8"/>
      <c r="R686" s="8"/>
      <c r="S686" s="9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10"/>
    </row>
    <row r="687" spans="1:39" x14ac:dyDescent="0.2">
      <c r="A687" s="2" t="str">
        <f>IF($G687="","",IF(ISERROR(MATCH($N687,Lge_Scratch!$B:$B,0)),1,0))</f>
        <v/>
      </c>
      <c r="B687" s="2" t="str">
        <f>IF($G687="","",IF(AND(LEFT($Q687,8)="Non-aero",ISERROR(MATCH($N687,Lge_NonAero!$B:$B,0))),1,0))</f>
        <v/>
      </c>
      <c r="C687" s="5" t="str">
        <f>IF($G687="","",IF(AND(LEFT($O687,3)="Wom",ISERROR(MATCH($N687,Lge_Women!$B:$B,0))),1,0))</f>
        <v/>
      </c>
      <c r="D687" s="2" t="str">
        <f>IF($G687="","",IF(AND(OR($O687="Vet",$O687="Woman Vet"),ISERROR(MATCH($N687,Lge_Vets!$B:$B,0))),1,0))</f>
        <v/>
      </c>
      <c r="E687" s="2" t="str">
        <f>IF($G687="","",IF(AND(OR($O687="Junior",$O687="Woman Junior",$O687="Youth",$O687="Woman Youth"),ISERROR(MATCH($N687,Lge_Junior!$B:$B,0))),1,0))</f>
        <v/>
      </c>
      <c r="F687" s="2" t="str">
        <f>IF($G687="","",IF(AND(LEFT($O687,3)="You",ISERROR(MATCH($N687,Lge_Youth!$B:$B,0))),1,0))</f>
        <v/>
      </c>
      <c r="G687" s="3"/>
      <c r="H687" s="3"/>
      <c r="I687" s="3"/>
      <c r="J687" s="3"/>
      <c r="K687" s="6"/>
      <c r="L687" s="4"/>
      <c r="M687" s="4"/>
      <c r="N687" s="8"/>
      <c r="O687" s="8"/>
      <c r="P687" s="9"/>
      <c r="Q687" s="8"/>
      <c r="R687" s="8"/>
      <c r="S687" s="9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10"/>
    </row>
    <row r="688" spans="1:39" x14ac:dyDescent="0.2">
      <c r="A688" s="2" t="str">
        <f>IF($G688="","",IF(ISERROR(MATCH($N688,Lge_Scratch!$B:$B,0)),1,0))</f>
        <v/>
      </c>
      <c r="B688" s="2" t="str">
        <f>IF($G688="","",IF(AND(LEFT($Q688,8)="Non-aero",ISERROR(MATCH($N688,Lge_NonAero!$B:$B,0))),1,0))</f>
        <v/>
      </c>
      <c r="C688" s="5" t="str">
        <f>IF($G688="","",IF(AND(LEFT($O688,3)="Wom",ISERROR(MATCH($N688,Lge_Women!$B:$B,0))),1,0))</f>
        <v/>
      </c>
      <c r="D688" s="2" t="str">
        <f>IF($G688="","",IF(AND(OR($O688="Vet",$O688="Woman Vet"),ISERROR(MATCH($N688,Lge_Vets!$B:$B,0))),1,0))</f>
        <v/>
      </c>
      <c r="E688" s="2" t="str">
        <f>IF($G688="","",IF(AND(OR($O688="Junior",$O688="Woman Junior",$O688="Youth",$O688="Woman Youth"),ISERROR(MATCH($N688,Lge_Junior!$B:$B,0))),1,0))</f>
        <v/>
      </c>
      <c r="F688" s="2" t="str">
        <f>IF($G688="","",IF(AND(LEFT($O688,3)="You",ISERROR(MATCH($N688,Lge_Youth!$B:$B,0))),1,0))</f>
        <v/>
      </c>
      <c r="G688" s="3"/>
      <c r="H688" s="3"/>
      <c r="I688" s="3"/>
      <c r="J688" s="3"/>
      <c r="K688" s="6"/>
      <c r="L688" s="4"/>
      <c r="M688" s="4"/>
      <c r="N688" s="8"/>
      <c r="O688" s="8"/>
      <c r="P688" s="9"/>
      <c r="Q688" s="8"/>
      <c r="R688" s="8"/>
      <c r="S688" s="9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10"/>
    </row>
    <row r="689" spans="1:39" x14ac:dyDescent="0.2">
      <c r="A689" s="2" t="str">
        <f>IF($G689="","",IF(ISERROR(MATCH($N689,Lge_Scratch!$B:$B,0)),1,0))</f>
        <v/>
      </c>
      <c r="B689" s="2" t="str">
        <f>IF($G689="","",IF(AND(LEFT($Q689,8)="Non-aero",ISERROR(MATCH($N689,Lge_NonAero!$B:$B,0))),1,0))</f>
        <v/>
      </c>
      <c r="C689" s="5" t="str">
        <f>IF($G689="","",IF(AND(LEFT($O689,3)="Wom",ISERROR(MATCH($N689,Lge_Women!$B:$B,0))),1,0))</f>
        <v/>
      </c>
      <c r="D689" s="2" t="str">
        <f>IF($G689="","",IF(AND(OR($O689="Vet",$O689="Woman Vet"),ISERROR(MATCH($N689,Lge_Vets!$B:$B,0))),1,0))</f>
        <v/>
      </c>
      <c r="E689" s="2" t="str">
        <f>IF($G689="","",IF(AND(OR($O689="Junior",$O689="Woman Junior",$O689="Youth",$O689="Woman Youth"),ISERROR(MATCH($N689,Lge_Junior!$B:$B,0))),1,0))</f>
        <v/>
      </c>
      <c r="F689" s="2" t="str">
        <f>IF($G689="","",IF(AND(LEFT($O689,3)="You",ISERROR(MATCH($N689,Lge_Youth!$B:$B,0))),1,0))</f>
        <v/>
      </c>
      <c r="G689" s="3"/>
      <c r="H689" s="3"/>
      <c r="I689" s="3"/>
      <c r="J689" s="3"/>
      <c r="K689" s="6"/>
      <c r="L689" s="4"/>
      <c r="M689" s="4"/>
      <c r="N689" s="8"/>
      <c r="O689" s="8"/>
      <c r="P689" s="9"/>
      <c r="Q689" s="8"/>
      <c r="R689" s="8"/>
      <c r="S689" s="9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10"/>
    </row>
    <row r="690" spans="1:39" x14ac:dyDescent="0.2">
      <c r="A690" s="2" t="str">
        <f>IF($G690="","",IF(ISERROR(MATCH($N690,Lge_Scratch!$B:$B,0)),1,0))</f>
        <v/>
      </c>
      <c r="B690" s="2" t="str">
        <f>IF($G690="","",IF(AND(LEFT($Q690,8)="Non-aero",ISERROR(MATCH($N690,Lge_NonAero!$B:$B,0))),1,0))</f>
        <v/>
      </c>
      <c r="C690" s="5" t="str">
        <f>IF($G690="","",IF(AND(LEFT($O690,3)="Wom",ISERROR(MATCH($N690,Lge_Women!$B:$B,0))),1,0))</f>
        <v/>
      </c>
      <c r="D690" s="2" t="str">
        <f>IF($G690="","",IF(AND(OR($O690="Vet",$O690="Woman Vet"),ISERROR(MATCH($N690,Lge_Vets!$B:$B,0))),1,0))</f>
        <v/>
      </c>
      <c r="E690" s="2" t="str">
        <f>IF($G690="","",IF(AND(OR($O690="Junior",$O690="Woman Junior",$O690="Youth",$O690="Woman Youth"),ISERROR(MATCH($N690,Lge_Junior!$B:$B,0))),1,0))</f>
        <v/>
      </c>
      <c r="F690" s="2" t="str">
        <f>IF($G690="","",IF(AND(LEFT($O690,3)="You",ISERROR(MATCH($N690,Lge_Youth!$B:$B,0))),1,0))</f>
        <v/>
      </c>
      <c r="G690" s="3"/>
      <c r="H690" s="3"/>
      <c r="I690" s="3"/>
      <c r="J690" s="3"/>
      <c r="K690" s="6"/>
      <c r="L690" s="4"/>
      <c r="M690" s="4"/>
      <c r="N690" s="8"/>
      <c r="O690" s="8"/>
      <c r="P690" s="9"/>
      <c r="Q690" s="8"/>
      <c r="R690" s="8"/>
      <c r="S690" s="9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10"/>
    </row>
    <row r="691" spans="1:39" x14ac:dyDescent="0.2">
      <c r="A691" s="2" t="str">
        <f>IF($G691="","",IF(ISERROR(MATCH($N691,Lge_Scratch!$B:$B,0)),1,0))</f>
        <v/>
      </c>
      <c r="B691" s="2" t="str">
        <f>IF($G691="","",IF(AND(LEFT($Q691,8)="Non-aero",ISERROR(MATCH($N691,Lge_NonAero!$B:$B,0))),1,0))</f>
        <v/>
      </c>
      <c r="C691" s="5" t="str">
        <f>IF($G691="","",IF(AND(LEFT($O691,3)="Wom",ISERROR(MATCH($N691,Lge_Women!$B:$B,0))),1,0))</f>
        <v/>
      </c>
      <c r="D691" s="2" t="str">
        <f>IF($G691="","",IF(AND(OR($O691="Vet",$O691="Woman Vet"),ISERROR(MATCH($N691,Lge_Vets!$B:$B,0))),1,0))</f>
        <v/>
      </c>
      <c r="E691" s="2" t="str">
        <f>IF($G691="","",IF(AND(OR($O691="Junior",$O691="Woman Junior",$O691="Youth",$O691="Woman Youth"),ISERROR(MATCH($N691,Lge_Junior!$B:$B,0))),1,0))</f>
        <v/>
      </c>
      <c r="F691" s="2" t="str">
        <f>IF($G691="","",IF(AND(LEFT($O691,3)="You",ISERROR(MATCH($N691,Lge_Youth!$B:$B,0))),1,0))</f>
        <v/>
      </c>
      <c r="G691" s="3"/>
      <c r="H691" s="3"/>
      <c r="I691" s="3"/>
      <c r="J691" s="3"/>
      <c r="K691" s="6"/>
      <c r="L691" s="4"/>
      <c r="M691" s="4"/>
      <c r="N691" s="8"/>
      <c r="O691" s="8"/>
      <c r="P691" s="9"/>
      <c r="Q691" s="8"/>
      <c r="R691" s="8"/>
      <c r="S691" s="9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10"/>
    </row>
    <row r="692" spans="1:39" x14ac:dyDescent="0.2">
      <c r="A692" s="2" t="str">
        <f>IF($G692="","",IF(ISERROR(MATCH($N692,Lge_Scratch!$B:$B,0)),1,0))</f>
        <v/>
      </c>
      <c r="B692" s="2" t="str">
        <f>IF($G692="","",IF(AND(LEFT($Q692,8)="Non-aero",ISERROR(MATCH($N692,Lge_NonAero!$B:$B,0))),1,0))</f>
        <v/>
      </c>
      <c r="C692" s="5" t="str">
        <f>IF($G692="","",IF(AND(LEFT($O692,3)="Wom",ISERROR(MATCH($N692,Lge_Women!$B:$B,0))),1,0))</f>
        <v/>
      </c>
      <c r="D692" s="2" t="str">
        <f>IF($G692="","",IF(AND(OR($O692="Vet",$O692="Woman Vet"),ISERROR(MATCH($N692,Lge_Vets!$B:$B,0))),1,0))</f>
        <v/>
      </c>
      <c r="E692" s="2" t="str">
        <f>IF($G692="","",IF(AND(OR($O692="Junior",$O692="Woman Junior",$O692="Youth",$O692="Woman Youth"),ISERROR(MATCH($N692,Lge_Junior!$B:$B,0))),1,0))</f>
        <v/>
      </c>
      <c r="F692" s="2" t="str">
        <f>IF($G692="","",IF(AND(LEFT($O692,3)="You",ISERROR(MATCH($N692,Lge_Youth!$B:$B,0))),1,0))</f>
        <v/>
      </c>
      <c r="G692" s="3"/>
      <c r="H692" s="3"/>
      <c r="I692" s="3"/>
      <c r="J692" s="3"/>
      <c r="K692" s="6"/>
      <c r="L692" s="4"/>
      <c r="M692" s="4"/>
      <c r="N692" s="8"/>
      <c r="O692" s="8"/>
      <c r="P692" s="9"/>
      <c r="Q692" s="8"/>
      <c r="R692" s="8"/>
      <c r="S692" s="9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10"/>
    </row>
    <row r="693" spans="1:39" x14ac:dyDescent="0.2">
      <c r="A693" s="2" t="str">
        <f>IF($G693="","",IF(ISERROR(MATCH($N693,Lge_Scratch!$B:$B,0)),1,0))</f>
        <v/>
      </c>
      <c r="B693" s="2" t="str">
        <f>IF($G693="","",IF(AND(LEFT($Q693,8)="Non-aero",ISERROR(MATCH($N693,Lge_NonAero!$B:$B,0))),1,0))</f>
        <v/>
      </c>
      <c r="C693" s="5" t="str">
        <f>IF($G693="","",IF(AND(LEFT($O693,3)="Wom",ISERROR(MATCH($N693,Lge_Women!$B:$B,0))),1,0))</f>
        <v/>
      </c>
      <c r="D693" s="2" t="str">
        <f>IF($G693="","",IF(AND(OR($O693="Vet",$O693="Woman Vet"),ISERROR(MATCH($N693,Lge_Vets!$B:$B,0))),1,0))</f>
        <v/>
      </c>
      <c r="E693" s="2" t="str">
        <f>IF($G693="","",IF(AND(OR($O693="Junior",$O693="Woman Junior",$O693="Youth",$O693="Woman Youth"),ISERROR(MATCH($N693,Lge_Junior!$B:$B,0))),1,0))</f>
        <v/>
      </c>
      <c r="F693" s="2" t="str">
        <f>IF($G693="","",IF(AND(LEFT($O693,3)="You",ISERROR(MATCH($N693,Lge_Youth!$B:$B,0))),1,0))</f>
        <v/>
      </c>
      <c r="G693" s="3"/>
      <c r="H693" s="3"/>
      <c r="I693" s="3"/>
      <c r="J693" s="3"/>
      <c r="K693" s="6"/>
      <c r="L693" s="4"/>
      <c r="M693" s="4"/>
      <c r="N693" s="8"/>
      <c r="O693" s="8"/>
      <c r="P693" s="9"/>
      <c r="Q693" s="8"/>
      <c r="R693" s="8"/>
      <c r="S693" s="9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10"/>
    </row>
    <row r="694" spans="1:39" x14ac:dyDescent="0.2">
      <c r="A694" s="2" t="str">
        <f>IF($G694="","",IF(ISERROR(MATCH($N694,Lge_Scratch!$B:$B,0)),1,0))</f>
        <v/>
      </c>
      <c r="B694" s="2" t="str">
        <f>IF($G694="","",IF(AND(LEFT($Q694,8)="Non-aero",ISERROR(MATCH($N694,Lge_NonAero!$B:$B,0))),1,0))</f>
        <v/>
      </c>
      <c r="C694" s="5" t="str">
        <f>IF($G694="","",IF(AND(LEFT($O694,3)="Wom",ISERROR(MATCH($N694,Lge_Women!$B:$B,0))),1,0))</f>
        <v/>
      </c>
      <c r="D694" s="2" t="str">
        <f>IF($G694="","",IF(AND(OR($O694="Vet",$O694="Woman Vet"),ISERROR(MATCH($N694,Lge_Vets!$B:$B,0))),1,0))</f>
        <v/>
      </c>
      <c r="E694" s="2" t="str">
        <f>IF($G694="","",IF(AND(OR($O694="Junior",$O694="Woman Junior",$O694="Youth",$O694="Woman Youth"),ISERROR(MATCH($N694,Lge_Junior!$B:$B,0))),1,0))</f>
        <v/>
      </c>
      <c r="F694" s="2" t="str">
        <f>IF($G694="","",IF(AND(LEFT($O694,3)="You",ISERROR(MATCH($N694,Lge_Youth!$B:$B,0))),1,0))</f>
        <v/>
      </c>
      <c r="G694" s="3"/>
      <c r="H694" s="3"/>
      <c r="I694" s="3"/>
      <c r="J694" s="3"/>
      <c r="K694" s="6"/>
      <c r="L694" s="4"/>
      <c r="M694" s="4"/>
      <c r="N694" s="8"/>
      <c r="O694" s="8"/>
      <c r="P694" s="9"/>
      <c r="Q694" s="8"/>
      <c r="R694" s="8"/>
      <c r="S694" s="9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10"/>
    </row>
    <row r="695" spans="1:39" x14ac:dyDescent="0.2">
      <c r="A695" s="2" t="str">
        <f>IF($G695="","",IF(ISERROR(MATCH($N695,Lge_Scratch!$B:$B,0)),1,0))</f>
        <v/>
      </c>
      <c r="B695" s="2" t="str">
        <f>IF($G695="","",IF(AND(LEFT($Q695,8)="Non-aero",ISERROR(MATCH($N695,Lge_NonAero!$B:$B,0))),1,0))</f>
        <v/>
      </c>
      <c r="C695" s="5" t="str">
        <f>IF($G695="","",IF(AND(LEFT($O695,3)="Wom",ISERROR(MATCH($N695,Lge_Women!$B:$B,0))),1,0))</f>
        <v/>
      </c>
      <c r="D695" s="2" t="str">
        <f>IF($G695="","",IF(AND(OR($O695="Vet",$O695="Woman Vet"),ISERROR(MATCH($N695,Lge_Vets!$B:$B,0))),1,0))</f>
        <v/>
      </c>
      <c r="E695" s="2" t="str">
        <f>IF($G695="","",IF(AND(OR($O695="Junior",$O695="Woman Junior",$O695="Youth",$O695="Woman Youth"),ISERROR(MATCH($N695,Lge_Junior!$B:$B,0))),1,0))</f>
        <v/>
      </c>
      <c r="F695" s="2" t="str">
        <f>IF($G695="","",IF(AND(LEFT($O695,3)="You",ISERROR(MATCH($N695,Lge_Youth!$B:$B,0))),1,0))</f>
        <v/>
      </c>
      <c r="G695" s="3"/>
      <c r="H695" s="3"/>
      <c r="I695" s="3"/>
      <c r="J695" s="3"/>
      <c r="K695" s="6"/>
      <c r="L695" s="4"/>
      <c r="M695" s="4"/>
      <c r="N695" s="8"/>
      <c r="O695" s="8"/>
      <c r="P695" s="9"/>
      <c r="Q695" s="8"/>
      <c r="R695" s="8"/>
      <c r="S695" s="9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10"/>
    </row>
    <row r="696" spans="1:39" x14ac:dyDescent="0.2">
      <c r="A696" s="2" t="str">
        <f>IF($G696="","",IF(ISERROR(MATCH($N696,Lge_Scratch!$B:$B,0)),1,0))</f>
        <v/>
      </c>
      <c r="B696" s="2" t="str">
        <f>IF($G696="","",IF(AND(LEFT($Q696,8)="Non-aero",ISERROR(MATCH($N696,Lge_NonAero!$B:$B,0))),1,0))</f>
        <v/>
      </c>
      <c r="C696" s="5" t="str">
        <f>IF($G696="","",IF(AND(LEFT($O696,3)="Wom",ISERROR(MATCH($N696,Lge_Women!$B:$B,0))),1,0))</f>
        <v/>
      </c>
      <c r="D696" s="2" t="str">
        <f>IF($G696="","",IF(AND(OR($O696="Vet",$O696="Woman Vet"),ISERROR(MATCH($N696,Lge_Vets!$B:$B,0))),1,0))</f>
        <v/>
      </c>
      <c r="E696" s="2" t="str">
        <f>IF($G696="","",IF(AND(OR($O696="Junior",$O696="Woman Junior",$O696="Youth",$O696="Woman Youth"),ISERROR(MATCH($N696,Lge_Junior!$B:$B,0))),1,0))</f>
        <v/>
      </c>
      <c r="F696" s="2" t="str">
        <f>IF($G696="","",IF(AND(LEFT($O696,3)="You",ISERROR(MATCH($N696,Lge_Youth!$B:$B,0))),1,0))</f>
        <v/>
      </c>
      <c r="G696" s="3"/>
      <c r="H696" s="3"/>
      <c r="I696" s="3"/>
      <c r="J696" s="3"/>
      <c r="K696" s="6"/>
      <c r="L696" s="4"/>
      <c r="M696" s="4"/>
      <c r="N696" s="8"/>
      <c r="O696" s="8"/>
      <c r="P696" s="9"/>
      <c r="Q696" s="8"/>
      <c r="R696" s="8"/>
      <c r="S696" s="9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10"/>
    </row>
    <row r="697" spans="1:39" x14ac:dyDescent="0.2">
      <c r="A697" s="2" t="str">
        <f>IF($G697="","",IF(ISERROR(MATCH($N697,Lge_Scratch!$B:$B,0)),1,0))</f>
        <v/>
      </c>
      <c r="B697" s="2" t="str">
        <f>IF($G697="","",IF(AND(LEFT($Q697,8)="Non-aero",ISERROR(MATCH($N697,Lge_NonAero!$B:$B,0))),1,0))</f>
        <v/>
      </c>
      <c r="C697" s="5" t="str">
        <f>IF($G697="","",IF(AND(LEFT($O697,3)="Wom",ISERROR(MATCH($N697,Lge_Women!$B:$B,0))),1,0))</f>
        <v/>
      </c>
      <c r="D697" s="2" t="str">
        <f>IF($G697="","",IF(AND(OR($O697="Vet",$O697="Woman Vet"),ISERROR(MATCH($N697,Lge_Vets!$B:$B,0))),1,0))</f>
        <v/>
      </c>
      <c r="E697" s="2" t="str">
        <f>IF($G697="","",IF(AND(OR($O697="Junior",$O697="Woman Junior",$O697="Youth",$O697="Woman Youth"),ISERROR(MATCH($N697,Lge_Junior!$B:$B,0))),1,0))</f>
        <v/>
      </c>
      <c r="F697" s="2" t="str">
        <f>IF($G697="","",IF(AND(LEFT($O697,3)="You",ISERROR(MATCH($N697,Lge_Youth!$B:$B,0))),1,0))</f>
        <v/>
      </c>
      <c r="G697" s="3"/>
      <c r="H697" s="3"/>
      <c r="I697" s="3"/>
      <c r="J697" s="3"/>
      <c r="K697" s="6"/>
      <c r="L697" s="4"/>
      <c r="M697" s="4"/>
      <c r="N697" s="8"/>
      <c r="O697" s="8"/>
      <c r="P697" s="9"/>
      <c r="Q697" s="8"/>
      <c r="R697" s="8"/>
      <c r="S697" s="9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10"/>
    </row>
    <row r="698" spans="1:39" x14ac:dyDescent="0.2">
      <c r="A698" s="2" t="str">
        <f>IF($G698="","",IF(ISERROR(MATCH($N698,Lge_Scratch!$B:$B,0)),1,0))</f>
        <v/>
      </c>
      <c r="B698" s="2" t="str">
        <f>IF($G698="","",IF(AND(LEFT($Q698,8)="Non-aero",ISERROR(MATCH($N698,Lge_NonAero!$B:$B,0))),1,0))</f>
        <v/>
      </c>
      <c r="C698" s="5" t="str">
        <f>IF($G698="","",IF(AND(LEFT($O698,3)="Wom",ISERROR(MATCH($N698,Lge_Women!$B:$B,0))),1,0))</f>
        <v/>
      </c>
      <c r="D698" s="2" t="str">
        <f>IF($G698="","",IF(AND(OR($O698="Vet",$O698="Woman Vet"),ISERROR(MATCH($N698,Lge_Vets!$B:$B,0))),1,0))</f>
        <v/>
      </c>
      <c r="E698" s="2" t="str">
        <f>IF($G698="","",IF(AND(OR($O698="Junior",$O698="Woman Junior",$O698="Youth",$O698="Woman Youth"),ISERROR(MATCH($N698,Lge_Junior!$B:$B,0))),1,0))</f>
        <v/>
      </c>
      <c r="F698" s="2" t="str">
        <f>IF($G698="","",IF(AND(LEFT($O698,3)="You",ISERROR(MATCH($N698,Lge_Youth!$B:$B,0))),1,0))</f>
        <v/>
      </c>
      <c r="G698" s="3"/>
      <c r="H698" s="3"/>
      <c r="I698" s="3"/>
      <c r="J698" s="3"/>
      <c r="K698" s="6"/>
      <c r="L698" s="4"/>
      <c r="M698" s="4"/>
      <c r="N698" s="8"/>
      <c r="O698" s="8"/>
      <c r="P698" s="9"/>
      <c r="Q698" s="8"/>
      <c r="R698" s="8"/>
      <c r="S698" s="9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10"/>
    </row>
    <row r="699" spans="1:39" x14ac:dyDescent="0.2">
      <c r="A699" s="2" t="str">
        <f>IF($G699="","",IF(ISERROR(MATCH($N699,Lge_Scratch!$B:$B,0)),1,0))</f>
        <v/>
      </c>
      <c r="B699" s="2" t="str">
        <f>IF($G699="","",IF(AND(LEFT($Q699,8)="Non-aero",ISERROR(MATCH($N699,Lge_NonAero!$B:$B,0))),1,0))</f>
        <v/>
      </c>
      <c r="C699" s="5" t="str">
        <f>IF($G699="","",IF(AND(LEFT($O699,3)="Wom",ISERROR(MATCH($N699,Lge_Women!$B:$B,0))),1,0))</f>
        <v/>
      </c>
      <c r="D699" s="2" t="str">
        <f>IF($G699="","",IF(AND(OR($O699="Vet",$O699="Woman Vet"),ISERROR(MATCH($N699,Lge_Vets!$B:$B,0))),1,0))</f>
        <v/>
      </c>
      <c r="E699" s="2" t="str">
        <f>IF($G699="","",IF(AND(OR($O699="Junior",$O699="Woman Junior",$O699="Youth",$O699="Woman Youth"),ISERROR(MATCH($N699,Lge_Junior!$B:$B,0))),1,0))</f>
        <v/>
      </c>
      <c r="F699" s="2" t="str">
        <f>IF($G699="","",IF(AND(LEFT($O699,3)="You",ISERROR(MATCH($N699,Lge_Youth!$B:$B,0))),1,0))</f>
        <v/>
      </c>
      <c r="G699" s="3"/>
      <c r="H699" s="3"/>
      <c r="I699" s="3"/>
      <c r="J699" s="3"/>
      <c r="K699" s="6"/>
      <c r="L699" s="4"/>
      <c r="M699" s="4"/>
      <c r="N699" s="8"/>
      <c r="O699" s="8"/>
      <c r="P699" s="9"/>
      <c r="Q699" s="8"/>
      <c r="R699" s="8"/>
      <c r="S699" s="9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10"/>
    </row>
    <row r="700" spans="1:39" x14ac:dyDescent="0.2">
      <c r="A700" s="2" t="str">
        <f>IF($G700="","",IF(ISERROR(MATCH($N700,Lge_Scratch!$B:$B,0)),1,0))</f>
        <v/>
      </c>
      <c r="B700" s="2" t="str">
        <f>IF($G700="","",IF(AND(LEFT($Q700,8)="Non-aero",ISERROR(MATCH($N700,Lge_NonAero!$B:$B,0))),1,0))</f>
        <v/>
      </c>
      <c r="C700" s="5" t="str">
        <f>IF($G700="","",IF(AND(LEFT($O700,3)="Wom",ISERROR(MATCH($N700,Lge_Women!$B:$B,0))),1,0))</f>
        <v/>
      </c>
      <c r="D700" s="2" t="str">
        <f>IF($G700="","",IF(AND(OR($O700="Vet",$O700="Woman Vet"),ISERROR(MATCH($N700,Lge_Vets!$B:$B,0))),1,0))</f>
        <v/>
      </c>
      <c r="E700" s="2" t="str">
        <f>IF($G700="","",IF(AND(OR($O700="Junior",$O700="Woman Junior",$O700="Youth",$O700="Woman Youth"),ISERROR(MATCH($N700,Lge_Junior!$B:$B,0))),1,0))</f>
        <v/>
      </c>
      <c r="F700" s="2" t="str">
        <f>IF($G700="","",IF(AND(LEFT($O700,3)="You",ISERROR(MATCH($N700,Lge_Youth!$B:$B,0))),1,0))</f>
        <v/>
      </c>
      <c r="G700" s="3"/>
      <c r="H700" s="3"/>
      <c r="I700" s="3"/>
      <c r="J700" s="3"/>
      <c r="K700" s="6"/>
      <c r="L700" s="4"/>
      <c r="M700" s="4"/>
      <c r="N700" s="8"/>
      <c r="O700" s="8"/>
      <c r="P700" s="9"/>
      <c r="Q700" s="8"/>
      <c r="R700" s="8"/>
      <c r="S700" s="9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10"/>
    </row>
    <row r="701" spans="1:39" x14ac:dyDescent="0.2">
      <c r="A701" s="2" t="str">
        <f>IF($G701="","",IF(ISERROR(MATCH($N701,Lge_Scratch!$B:$B,0)),1,0))</f>
        <v/>
      </c>
      <c r="B701" s="2" t="str">
        <f>IF($G701="","",IF(AND(LEFT($Q701,8)="Non-aero",ISERROR(MATCH($N701,Lge_NonAero!$B:$B,0))),1,0))</f>
        <v/>
      </c>
      <c r="C701" s="5" t="str">
        <f>IF($G701="","",IF(AND(LEFT($O701,3)="Wom",ISERROR(MATCH($N701,Lge_Women!$B:$B,0))),1,0))</f>
        <v/>
      </c>
      <c r="D701" s="2" t="str">
        <f>IF($G701="","",IF(AND(OR($O701="Vet",$O701="Woman Vet"),ISERROR(MATCH($N701,Lge_Vets!$B:$B,0))),1,0))</f>
        <v/>
      </c>
      <c r="E701" s="2" t="str">
        <f>IF($G701="","",IF(AND(OR($O701="Junior",$O701="Woman Junior",$O701="Youth",$O701="Woman Youth"),ISERROR(MATCH($N701,Lge_Junior!$B:$B,0))),1,0))</f>
        <v/>
      </c>
      <c r="F701" s="2" t="str">
        <f>IF($G701="","",IF(AND(LEFT($O701,3)="You",ISERROR(MATCH($N701,Lge_Youth!$B:$B,0))),1,0))</f>
        <v/>
      </c>
      <c r="G701" s="3"/>
      <c r="H701" s="3"/>
      <c r="I701" s="3"/>
      <c r="J701" s="3"/>
      <c r="K701" s="6"/>
      <c r="L701" s="4"/>
      <c r="M701" s="4"/>
      <c r="N701" s="8"/>
      <c r="O701" s="8"/>
      <c r="P701" s="9"/>
      <c r="Q701" s="8"/>
      <c r="R701" s="8"/>
      <c r="S701" s="9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10"/>
    </row>
    <row r="702" spans="1:39" x14ac:dyDescent="0.2">
      <c r="A702" s="2" t="str">
        <f>IF($G702="","",IF(ISERROR(MATCH($N702,Lge_Scratch!$B:$B,0)),1,0))</f>
        <v/>
      </c>
      <c r="B702" s="2" t="str">
        <f>IF($G702="","",IF(AND(LEFT($Q702,8)="Non-aero",ISERROR(MATCH($N702,Lge_NonAero!$B:$B,0))),1,0))</f>
        <v/>
      </c>
      <c r="C702" s="5" t="str">
        <f>IF($G702="","",IF(AND(LEFT($O702,3)="Wom",ISERROR(MATCH($N702,Lge_Women!$B:$B,0))),1,0))</f>
        <v/>
      </c>
      <c r="D702" s="2" t="str">
        <f>IF($G702="","",IF(AND(OR($O702="Vet",$O702="Woman Vet"),ISERROR(MATCH($N702,Lge_Vets!$B:$B,0))),1,0))</f>
        <v/>
      </c>
      <c r="E702" s="2" t="str">
        <f>IF($G702="","",IF(AND(OR($O702="Junior",$O702="Woman Junior",$O702="Youth",$O702="Woman Youth"),ISERROR(MATCH($N702,Lge_Junior!$B:$B,0))),1,0))</f>
        <v/>
      </c>
      <c r="F702" s="2" t="str">
        <f>IF($G702="","",IF(AND(LEFT($O702,3)="You",ISERROR(MATCH($N702,Lge_Youth!$B:$B,0))),1,0))</f>
        <v/>
      </c>
      <c r="G702" s="3"/>
      <c r="H702" s="3"/>
      <c r="I702" s="3"/>
      <c r="J702" s="3"/>
      <c r="K702" s="6"/>
      <c r="L702" s="4"/>
      <c r="M702" s="4"/>
      <c r="N702" s="8"/>
      <c r="O702" s="8"/>
      <c r="P702" s="9"/>
      <c r="Q702" s="8"/>
      <c r="R702" s="8"/>
      <c r="S702" s="9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10"/>
    </row>
    <row r="703" spans="1:39" x14ac:dyDescent="0.2">
      <c r="A703" s="2" t="str">
        <f>IF($G703="","",IF(ISERROR(MATCH($N703,Lge_Scratch!$B:$B,0)),1,0))</f>
        <v/>
      </c>
      <c r="B703" s="2" t="str">
        <f>IF($G703="","",IF(AND(LEFT($Q703,8)="Non-aero",ISERROR(MATCH($N703,Lge_NonAero!$B:$B,0))),1,0))</f>
        <v/>
      </c>
      <c r="C703" s="5" t="str">
        <f>IF($G703="","",IF(AND(LEFT($O703,3)="Wom",ISERROR(MATCH($N703,Lge_Women!$B:$B,0))),1,0))</f>
        <v/>
      </c>
      <c r="D703" s="2" t="str">
        <f>IF($G703="","",IF(AND(OR($O703="Vet",$O703="Woman Vet"),ISERROR(MATCH($N703,Lge_Vets!$B:$B,0))),1,0))</f>
        <v/>
      </c>
      <c r="E703" s="2" t="str">
        <f>IF($G703="","",IF(AND(OR($O703="Junior",$O703="Woman Junior",$O703="Youth",$O703="Woman Youth"),ISERROR(MATCH($N703,Lge_Junior!$B:$B,0))),1,0))</f>
        <v/>
      </c>
      <c r="F703" s="2" t="str">
        <f>IF($G703="","",IF(AND(LEFT($O703,3)="You",ISERROR(MATCH($N703,Lge_Youth!$B:$B,0))),1,0))</f>
        <v/>
      </c>
      <c r="G703" s="3"/>
      <c r="H703" s="3"/>
      <c r="I703" s="3"/>
      <c r="J703" s="3"/>
      <c r="K703" s="6"/>
      <c r="L703" s="4"/>
      <c r="M703" s="4"/>
      <c r="N703" s="8"/>
      <c r="O703" s="8"/>
      <c r="P703" s="9"/>
      <c r="Q703" s="8"/>
      <c r="R703" s="8"/>
      <c r="S703" s="9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10"/>
    </row>
    <row r="704" spans="1:39" x14ac:dyDescent="0.2">
      <c r="A704" s="2" t="str">
        <f>IF($G704="","",IF(ISERROR(MATCH($N704,Lge_Scratch!$B:$B,0)),1,0))</f>
        <v/>
      </c>
      <c r="B704" s="2" t="str">
        <f>IF($G704="","",IF(AND(LEFT($Q704,8)="Non-aero",ISERROR(MATCH($N704,Lge_NonAero!$B:$B,0))),1,0))</f>
        <v/>
      </c>
      <c r="C704" s="5" t="str">
        <f>IF($G704="","",IF(AND(LEFT($O704,3)="Wom",ISERROR(MATCH($N704,Lge_Women!$B:$B,0))),1,0))</f>
        <v/>
      </c>
      <c r="D704" s="2" t="str">
        <f>IF($G704="","",IF(AND(OR($O704="Vet",$O704="Woman Vet"),ISERROR(MATCH($N704,Lge_Vets!$B:$B,0))),1,0))</f>
        <v/>
      </c>
      <c r="E704" s="2" t="str">
        <f>IF($G704="","",IF(AND(OR($O704="Junior",$O704="Woman Junior",$O704="Youth",$O704="Woman Youth"),ISERROR(MATCH($N704,Lge_Junior!$B:$B,0))),1,0))</f>
        <v/>
      </c>
      <c r="F704" s="2" t="str">
        <f>IF($G704="","",IF(AND(LEFT($O704,3)="You",ISERROR(MATCH($N704,Lge_Youth!$B:$B,0))),1,0))</f>
        <v/>
      </c>
      <c r="G704" s="3"/>
      <c r="H704" s="3"/>
      <c r="I704" s="3"/>
      <c r="J704" s="3"/>
      <c r="K704" s="6"/>
      <c r="L704" s="4"/>
      <c r="M704" s="4"/>
      <c r="N704" s="8"/>
      <c r="O704" s="8"/>
      <c r="P704" s="9"/>
      <c r="Q704" s="8"/>
      <c r="R704" s="8"/>
      <c r="S704" s="9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10"/>
    </row>
    <row r="705" spans="1:39" x14ac:dyDescent="0.2">
      <c r="A705" s="2" t="str">
        <f>IF($G705="","",IF(ISERROR(MATCH($N705,Lge_Scratch!$B:$B,0)),1,0))</f>
        <v/>
      </c>
      <c r="B705" s="2" t="str">
        <f>IF($G705="","",IF(AND(LEFT($Q705,8)="Non-aero",ISERROR(MATCH($N705,Lge_NonAero!$B:$B,0))),1,0))</f>
        <v/>
      </c>
      <c r="C705" s="5" t="str">
        <f>IF($G705="","",IF(AND(LEFT($O705,3)="Wom",ISERROR(MATCH($N705,Lge_Women!$B:$B,0))),1,0))</f>
        <v/>
      </c>
      <c r="D705" s="2" t="str">
        <f>IF($G705="","",IF(AND(OR($O705="Vet",$O705="Woman Vet"),ISERROR(MATCH($N705,Lge_Vets!$B:$B,0))),1,0))</f>
        <v/>
      </c>
      <c r="E705" s="2" t="str">
        <f>IF($G705="","",IF(AND(OR($O705="Junior",$O705="Woman Junior",$O705="Youth",$O705="Woman Youth"),ISERROR(MATCH($N705,Lge_Junior!$B:$B,0))),1,0))</f>
        <v/>
      </c>
      <c r="F705" s="2" t="str">
        <f>IF($G705="","",IF(AND(LEFT($O705,3)="You",ISERROR(MATCH($N705,Lge_Youth!$B:$B,0))),1,0))</f>
        <v/>
      </c>
      <c r="G705" s="3"/>
      <c r="H705" s="3"/>
      <c r="I705" s="3"/>
      <c r="J705" s="3"/>
      <c r="K705" s="6"/>
      <c r="L705" s="4"/>
      <c r="M705" s="4"/>
      <c r="N705" s="8"/>
      <c r="O705" s="8"/>
      <c r="P705" s="9"/>
      <c r="Q705" s="8"/>
      <c r="R705" s="8"/>
      <c r="S705" s="9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10"/>
    </row>
    <row r="706" spans="1:39" x14ac:dyDescent="0.2">
      <c r="A706" s="2" t="str">
        <f>IF($G706="","",IF(ISERROR(MATCH($N706,Lge_Scratch!$B:$B,0)),1,0))</f>
        <v/>
      </c>
      <c r="B706" s="2" t="str">
        <f>IF($G706="","",IF(AND(LEFT($Q706,8)="Non-aero",ISERROR(MATCH($N706,Lge_NonAero!$B:$B,0))),1,0))</f>
        <v/>
      </c>
      <c r="C706" s="5" t="str">
        <f>IF($G706="","",IF(AND(LEFT($O706,3)="Wom",ISERROR(MATCH($N706,Lge_Women!$B:$B,0))),1,0))</f>
        <v/>
      </c>
      <c r="D706" s="2" t="str">
        <f>IF($G706="","",IF(AND(OR($O706="Vet",$O706="Woman Vet"),ISERROR(MATCH($N706,Lge_Vets!$B:$B,0))),1,0))</f>
        <v/>
      </c>
      <c r="E706" s="2" t="str">
        <f>IF($G706="","",IF(AND(OR($O706="Junior",$O706="Woman Junior",$O706="Youth",$O706="Woman Youth"),ISERROR(MATCH($N706,Lge_Junior!$B:$B,0))),1,0))</f>
        <v/>
      </c>
      <c r="F706" s="2" t="str">
        <f>IF($G706="","",IF(AND(LEFT($O706,3)="You",ISERROR(MATCH($N706,Lge_Youth!$B:$B,0))),1,0))</f>
        <v/>
      </c>
      <c r="G706" s="3"/>
      <c r="H706" s="3"/>
      <c r="I706" s="3"/>
      <c r="J706" s="3"/>
      <c r="K706" s="6"/>
      <c r="L706" s="4"/>
      <c r="M706" s="4"/>
      <c r="N706" s="8"/>
      <c r="O706" s="8"/>
      <c r="P706" s="9"/>
      <c r="Q706" s="8"/>
      <c r="R706" s="8"/>
      <c r="S706" s="9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10"/>
    </row>
    <row r="707" spans="1:39" x14ac:dyDescent="0.2">
      <c r="A707" s="2" t="str">
        <f>IF($G707="","",IF(ISERROR(MATCH($N707,Lge_Scratch!$B:$B,0)),1,0))</f>
        <v/>
      </c>
      <c r="B707" s="2" t="str">
        <f>IF($G707="","",IF(AND(LEFT($Q707,8)="Non-aero",ISERROR(MATCH($N707,Lge_NonAero!$B:$B,0))),1,0))</f>
        <v/>
      </c>
      <c r="C707" s="5" t="str">
        <f>IF($G707="","",IF(AND(LEFT($O707,3)="Wom",ISERROR(MATCH($N707,Lge_Women!$B:$B,0))),1,0))</f>
        <v/>
      </c>
      <c r="D707" s="2" t="str">
        <f>IF($G707="","",IF(AND(OR($O707="Vet",$O707="Woman Vet"),ISERROR(MATCH($N707,Lge_Vets!$B:$B,0))),1,0))</f>
        <v/>
      </c>
      <c r="E707" s="2" t="str">
        <f>IF($G707="","",IF(AND(OR($O707="Junior",$O707="Woman Junior",$O707="Youth",$O707="Woman Youth"),ISERROR(MATCH($N707,Lge_Junior!$B:$B,0))),1,0))</f>
        <v/>
      </c>
      <c r="F707" s="2" t="str">
        <f>IF($G707="","",IF(AND(LEFT($O707,3)="You",ISERROR(MATCH($N707,Lge_Youth!$B:$B,0))),1,0))</f>
        <v/>
      </c>
      <c r="G707" s="3"/>
      <c r="H707" s="3"/>
      <c r="I707" s="3"/>
      <c r="J707" s="3"/>
      <c r="K707" s="6"/>
      <c r="L707" s="4"/>
      <c r="M707" s="4"/>
      <c r="N707" s="8"/>
      <c r="O707" s="8"/>
      <c r="P707" s="9"/>
      <c r="Q707" s="8"/>
      <c r="R707" s="8"/>
      <c r="S707" s="9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10"/>
    </row>
    <row r="708" spans="1:39" x14ac:dyDescent="0.2">
      <c r="A708" s="2" t="str">
        <f>IF($G708="","",IF(ISERROR(MATCH($N708,Lge_Scratch!$B:$B,0)),1,0))</f>
        <v/>
      </c>
      <c r="B708" s="2" t="str">
        <f>IF($G708="","",IF(AND(LEFT($Q708,8)="Non-aero",ISERROR(MATCH($N708,Lge_NonAero!$B:$B,0))),1,0))</f>
        <v/>
      </c>
      <c r="C708" s="5" t="str">
        <f>IF($G708="","",IF(AND(LEFT($O708,3)="Wom",ISERROR(MATCH($N708,Lge_Women!$B:$B,0))),1,0))</f>
        <v/>
      </c>
      <c r="D708" s="2" t="str">
        <f>IF($G708="","",IF(AND(OR($O708="Vet",$O708="Woman Vet"),ISERROR(MATCH($N708,Lge_Vets!$B:$B,0))),1,0))</f>
        <v/>
      </c>
      <c r="E708" s="2" t="str">
        <f>IF($G708="","",IF(AND(OR($O708="Junior",$O708="Woman Junior",$O708="Youth",$O708="Woman Youth"),ISERROR(MATCH($N708,Lge_Junior!$B:$B,0))),1,0))</f>
        <v/>
      </c>
      <c r="F708" s="2" t="str">
        <f>IF($G708="","",IF(AND(LEFT($O708,3)="You",ISERROR(MATCH($N708,Lge_Youth!$B:$B,0))),1,0))</f>
        <v/>
      </c>
      <c r="G708" s="3"/>
      <c r="H708" s="3"/>
      <c r="I708" s="3"/>
      <c r="J708" s="3"/>
      <c r="K708" s="6"/>
      <c r="L708" s="4"/>
      <c r="M708" s="4"/>
      <c r="N708" s="8"/>
      <c r="O708" s="8"/>
      <c r="P708" s="9"/>
      <c r="Q708" s="8"/>
      <c r="R708" s="8"/>
      <c r="S708" s="9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10"/>
    </row>
    <row r="709" spans="1:39" x14ac:dyDescent="0.2">
      <c r="A709" s="2" t="str">
        <f>IF($G709="","",IF(ISERROR(MATCH($N709,Lge_Scratch!$B:$B,0)),1,0))</f>
        <v/>
      </c>
      <c r="B709" s="2" t="str">
        <f>IF($G709="","",IF(AND(LEFT($Q709,8)="Non-aero",ISERROR(MATCH($N709,Lge_NonAero!$B:$B,0))),1,0))</f>
        <v/>
      </c>
      <c r="C709" s="5" t="str">
        <f>IF($G709="","",IF(AND(LEFT($O709,3)="Wom",ISERROR(MATCH($N709,Lge_Women!$B:$B,0))),1,0))</f>
        <v/>
      </c>
      <c r="D709" s="2" t="str">
        <f>IF($G709="","",IF(AND(OR($O709="Vet",$O709="Woman Vet"),ISERROR(MATCH($N709,Lge_Vets!$B:$B,0))),1,0))</f>
        <v/>
      </c>
      <c r="E709" s="2" t="str">
        <f>IF($G709="","",IF(AND(OR($O709="Junior",$O709="Woman Junior",$O709="Youth",$O709="Woman Youth"),ISERROR(MATCH($N709,Lge_Junior!$B:$B,0))),1,0))</f>
        <v/>
      </c>
      <c r="F709" s="2" t="str">
        <f>IF($G709="","",IF(AND(LEFT($O709,3)="You",ISERROR(MATCH($N709,Lge_Youth!$B:$B,0))),1,0))</f>
        <v/>
      </c>
      <c r="G709" s="3"/>
      <c r="H709" s="3"/>
      <c r="I709" s="3"/>
      <c r="J709" s="3"/>
      <c r="K709" s="6"/>
      <c r="L709" s="4"/>
      <c r="M709" s="4"/>
      <c r="N709" s="8"/>
      <c r="O709" s="8"/>
      <c r="P709" s="9"/>
      <c r="Q709" s="8"/>
      <c r="R709" s="8"/>
      <c r="S709" s="9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10"/>
    </row>
    <row r="710" spans="1:39" x14ac:dyDescent="0.2">
      <c r="A710" s="2" t="str">
        <f>IF($G710="","",IF(ISERROR(MATCH($N710,Lge_Scratch!$B:$B,0)),1,0))</f>
        <v/>
      </c>
      <c r="B710" s="2" t="str">
        <f>IF($G710="","",IF(AND(LEFT($Q710,8)="Non-aero",ISERROR(MATCH($N710,Lge_NonAero!$B:$B,0))),1,0))</f>
        <v/>
      </c>
      <c r="C710" s="5" t="str">
        <f>IF($G710="","",IF(AND(LEFT($O710,3)="Wom",ISERROR(MATCH($N710,Lge_Women!$B:$B,0))),1,0))</f>
        <v/>
      </c>
      <c r="D710" s="2" t="str">
        <f>IF($G710="","",IF(AND(OR($O710="Vet",$O710="Woman Vet"),ISERROR(MATCH($N710,Lge_Vets!$B:$B,0))),1,0))</f>
        <v/>
      </c>
      <c r="E710" s="2" t="str">
        <f>IF($G710="","",IF(AND(OR($O710="Junior",$O710="Woman Junior",$O710="Youth",$O710="Woman Youth"),ISERROR(MATCH($N710,Lge_Junior!$B:$B,0))),1,0))</f>
        <v/>
      </c>
      <c r="F710" s="2" t="str">
        <f>IF($G710="","",IF(AND(LEFT($O710,3)="You",ISERROR(MATCH($N710,Lge_Youth!$B:$B,0))),1,0))</f>
        <v/>
      </c>
      <c r="G710" s="3"/>
      <c r="H710" s="3"/>
      <c r="I710" s="3"/>
      <c r="J710" s="3"/>
      <c r="K710" s="6"/>
      <c r="L710" s="4"/>
      <c r="M710" s="4"/>
      <c r="N710" s="8"/>
      <c r="O710" s="8"/>
      <c r="P710" s="9"/>
      <c r="Q710" s="8"/>
      <c r="R710" s="8"/>
      <c r="S710" s="9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10"/>
    </row>
    <row r="711" spans="1:39" x14ac:dyDescent="0.2">
      <c r="A711" s="2" t="str">
        <f>IF($G711="","",IF(ISERROR(MATCH($N711,Lge_Scratch!$B:$B,0)),1,0))</f>
        <v/>
      </c>
      <c r="B711" s="2" t="str">
        <f>IF($G711="","",IF(AND(LEFT($Q711,8)="Non-aero",ISERROR(MATCH($N711,Lge_NonAero!$B:$B,0))),1,0))</f>
        <v/>
      </c>
      <c r="C711" s="5" t="str">
        <f>IF($G711="","",IF(AND(LEFT($O711,3)="Wom",ISERROR(MATCH($N711,Lge_Women!$B:$B,0))),1,0))</f>
        <v/>
      </c>
      <c r="D711" s="2" t="str">
        <f>IF($G711="","",IF(AND(OR($O711="Vet",$O711="Woman Vet"),ISERROR(MATCH($N711,Lge_Vets!$B:$B,0))),1,0))</f>
        <v/>
      </c>
      <c r="E711" s="2" t="str">
        <f>IF($G711="","",IF(AND(OR($O711="Junior",$O711="Woman Junior",$O711="Youth",$O711="Woman Youth"),ISERROR(MATCH($N711,Lge_Junior!$B:$B,0))),1,0))</f>
        <v/>
      </c>
      <c r="F711" s="2" t="str">
        <f>IF($G711="","",IF(AND(LEFT($O711,3)="You",ISERROR(MATCH($N711,Lge_Youth!$B:$B,0))),1,0))</f>
        <v/>
      </c>
      <c r="G711" s="3"/>
      <c r="H711" s="3"/>
      <c r="I711" s="3"/>
      <c r="J711" s="3"/>
      <c r="K711" s="6"/>
      <c r="L711" s="4"/>
      <c r="M711" s="4"/>
      <c r="N711" s="8"/>
      <c r="O711" s="8"/>
      <c r="P711" s="9"/>
      <c r="Q711" s="8"/>
      <c r="R711" s="8"/>
      <c r="S711" s="9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10"/>
    </row>
    <row r="712" spans="1:39" x14ac:dyDescent="0.2">
      <c r="A712" s="2" t="str">
        <f>IF($G712="","",IF(ISERROR(MATCH($N712,Lge_Scratch!$B:$B,0)),1,0))</f>
        <v/>
      </c>
      <c r="B712" s="2" t="str">
        <f>IF($G712="","",IF(AND(LEFT($Q712,8)="Non-aero",ISERROR(MATCH($N712,Lge_NonAero!$B:$B,0))),1,0))</f>
        <v/>
      </c>
      <c r="C712" s="5" t="str">
        <f>IF($G712="","",IF(AND(LEFT($O712,3)="Wom",ISERROR(MATCH($N712,Lge_Women!$B:$B,0))),1,0))</f>
        <v/>
      </c>
      <c r="D712" s="2" t="str">
        <f>IF($G712="","",IF(AND(OR($O712="Vet",$O712="Woman Vet"),ISERROR(MATCH($N712,Lge_Vets!$B:$B,0))),1,0))</f>
        <v/>
      </c>
      <c r="E712" s="2" t="str">
        <f>IF($G712="","",IF(AND(OR($O712="Junior",$O712="Woman Junior",$O712="Youth",$O712="Woman Youth"),ISERROR(MATCH($N712,Lge_Junior!$B:$B,0))),1,0))</f>
        <v/>
      </c>
      <c r="F712" s="2" t="str">
        <f>IF($G712="","",IF(AND(LEFT($O712,3)="You",ISERROR(MATCH($N712,Lge_Youth!$B:$B,0))),1,0))</f>
        <v/>
      </c>
      <c r="G712" s="3"/>
      <c r="H712" s="3"/>
      <c r="I712" s="3"/>
      <c r="J712" s="3"/>
      <c r="K712" s="6"/>
      <c r="L712" s="4"/>
      <c r="M712" s="4"/>
      <c r="N712" s="8"/>
      <c r="O712" s="8"/>
      <c r="P712" s="9"/>
      <c r="Q712" s="8"/>
      <c r="R712" s="8"/>
      <c r="S712" s="9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10"/>
    </row>
    <row r="713" spans="1:39" x14ac:dyDescent="0.2">
      <c r="A713" s="2" t="str">
        <f>IF($G713="","",IF(ISERROR(MATCH($N713,Lge_Scratch!$B:$B,0)),1,0))</f>
        <v/>
      </c>
      <c r="B713" s="2" t="str">
        <f>IF($G713="","",IF(AND(LEFT($Q713,8)="Non-aero",ISERROR(MATCH($N713,Lge_NonAero!$B:$B,0))),1,0))</f>
        <v/>
      </c>
      <c r="C713" s="5" t="str">
        <f>IF($G713="","",IF(AND(LEFT($O713,3)="Wom",ISERROR(MATCH($N713,Lge_Women!$B:$B,0))),1,0))</f>
        <v/>
      </c>
      <c r="D713" s="2" t="str">
        <f>IF($G713="","",IF(AND(OR($O713="Vet",$O713="Woman Vet"),ISERROR(MATCH($N713,Lge_Vets!$B:$B,0))),1,0))</f>
        <v/>
      </c>
      <c r="E713" s="2" t="str">
        <f>IF($G713="","",IF(AND(OR($O713="Junior",$O713="Woman Junior",$O713="Youth",$O713="Woman Youth"),ISERROR(MATCH($N713,Lge_Junior!$B:$B,0))),1,0))</f>
        <v/>
      </c>
      <c r="F713" s="2" t="str">
        <f>IF($G713="","",IF(AND(LEFT($O713,3)="You",ISERROR(MATCH($N713,Lge_Youth!$B:$B,0))),1,0))</f>
        <v/>
      </c>
      <c r="G713" s="3"/>
      <c r="H713" s="3"/>
      <c r="I713" s="3"/>
      <c r="J713" s="3"/>
      <c r="K713" s="6"/>
      <c r="L713" s="4"/>
      <c r="M713" s="4"/>
      <c r="N713" s="8"/>
      <c r="O713" s="8"/>
      <c r="P713" s="9"/>
      <c r="Q713" s="8"/>
      <c r="R713" s="8"/>
      <c r="S713" s="9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10"/>
    </row>
    <row r="714" spans="1:39" x14ac:dyDescent="0.2">
      <c r="A714" s="2" t="str">
        <f>IF($G714="","",IF(ISERROR(MATCH($N714,Lge_Scratch!$B:$B,0)),1,0))</f>
        <v/>
      </c>
      <c r="B714" s="2" t="str">
        <f>IF($G714="","",IF(AND(LEFT($Q714,8)="Non-aero",ISERROR(MATCH($N714,Lge_NonAero!$B:$B,0))),1,0))</f>
        <v/>
      </c>
      <c r="C714" s="5" t="str">
        <f>IF($G714="","",IF(AND(LEFT($O714,3)="Wom",ISERROR(MATCH($N714,Lge_Women!$B:$B,0))),1,0))</f>
        <v/>
      </c>
      <c r="D714" s="2" t="str">
        <f>IF($G714="","",IF(AND(OR($O714="Vet",$O714="Woman Vet"),ISERROR(MATCH($N714,Lge_Vets!$B:$B,0))),1,0))</f>
        <v/>
      </c>
      <c r="E714" s="2" t="str">
        <f>IF($G714="","",IF(AND(OR($O714="Junior",$O714="Woman Junior",$O714="Youth",$O714="Woman Youth"),ISERROR(MATCH($N714,Lge_Junior!$B:$B,0))),1,0))</f>
        <v/>
      </c>
      <c r="F714" s="2" t="str">
        <f>IF($G714="","",IF(AND(LEFT($O714,3)="You",ISERROR(MATCH($N714,Lge_Youth!$B:$B,0))),1,0))</f>
        <v/>
      </c>
      <c r="G714" s="3"/>
      <c r="H714" s="3"/>
      <c r="I714" s="3"/>
      <c r="J714" s="3"/>
      <c r="K714" s="6"/>
      <c r="L714" s="4"/>
      <c r="M714" s="4"/>
      <c r="N714" s="8"/>
      <c r="O714" s="8"/>
      <c r="P714" s="9"/>
      <c r="Q714" s="8"/>
      <c r="R714" s="8"/>
      <c r="S714" s="9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10"/>
    </row>
    <row r="715" spans="1:39" x14ac:dyDescent="0.2">
      <c r="A715" s="2" t="str">
        <f>IF($G715="","",IF(ISERROR(MATCH($N715,Lge_Scratch!$B:$B,0)),1,0))</f>
        <v/>
      </c>
      <c r="B715" s="2" t="str">
        <f>IF($G715="","",IF(AND(LEFT($Q715,8)="Non-aero",ISERROR(MATCH($N715,Lge_NonAero!$B:$B,0))),1,0))</f>
        <v/>
      </c>
      <c r="C715" s="5" t="str">
        <f>IF($G715="","",IF(AND(LEFT($O715,3)="Wom",ISERROR(MATCH($N715,Lge_Women!$B:$B,0))),1,0))</f>
        <v/>
      </c>
      <c r="D715" s="2" t="str">
        <f>IF($G715="","",IF(AND(OR($O715="Vet",$O715="Woman Vet"),ISERROR(MATCH($N715,Lge_Vets!$B:$B,0))),1,0))</f>
        <v/>
      </c>
      <c r="E715" s="2" t="str">
        <f>IF($G715="","",IF(AND(OR($O715="Junior",$O715="Woman Junior",$O715="Youth",$O715="Woman Youth"),ISERROR(MATCH($N715,Lge_Junior!$B:$B,0))),1,0))</f>
        <v/>
      </c>
      <c r="F715" s="2" t="str">
        <f>IF($G715="","",IF(AND(LEFT($O715,3)="You",ISERROR(MATCH($N715,Lge_Youth!$B:$B,0))),1,0))</f>
        <v/>
      </c>
      <c r="G715" s="3"/>
      <c r="H715" s="3"/>
      <c r="I715" s="3"/>
      <c r="J715" s="3"/>
      <c r="K715" s="6"/>
      <c r="L715" s="4"/>
      <c r="M715" s="4"/>
      <c r="N715" s="8"/>
      <c r="O715" s="8"/>
      <c r="P715" s="9"/>
      <c r="Q715" s="8"/>
      <c r="R715" s="8"/>
      <c r="S715" s="9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10"/>
    </row>
    <row r="716" spans="1:39" x14ac:dyDescent="0.2">
      <c r="A716" s="2" t="str">
        <f>IF($G716="","",IF(ISERROR(MATCH($N716,Lge_Scratch!$B:$B,0)),1,0))</f>
        <v/>
      </c>
      <c r="B716" s="2" t="str">
        <f>IF($G716="","",IF(AND(LEFT($Q716,8)="Non-aero",ISERROR(MATCH($N716,Lge_NonAero!$B:$B,0))),1,0))</f>
        <v/>
      </c>
      <c r="C716" s="5" t="str">
        <f>IF($G716="","",IF(AND(LEFT($O716,3)="Wom",ISERROR(MATCH($N716,Lge_Women!$B:$B,0))),1,0))</f>
        <v/>
      </c>
      <c r="D716" s="2" t="str">
        <f>IF($G716="","",IF(AND(OR($O716="Vet",$O716="Woman Vet"),ISERROR(MATCH($N716,Lge_Vets!$B:$B,0))),1,0))</f>
        <v/>
      </c>
      <c r="E716" s="2" t="str">
        <f>IF($G716="","",IF(AND(OR($O716="Junior",$O716="Woman Junior",$O716="Youth",$O716="Woman Youth"),ISERROR(MATCH($N716,Lge_Junior!$B:$B,0))),1,0))</f>
        <v/>
      </c>
      <c r="F716" s="2" t="str">
        <f>IF($G716="","",IF(AND(LEFT($O716,3)="You",ISERROR(MATCH($N716,Lge_Youth!$B:$B,0))),1,0))</f>
        <v/>
      </c>
      <c r="G716" s="3"/>
      <c r="H716" s="3"/>
      <c r="I716" s="3"/>
      <c r="J716" s="3"/>
      <c r="K716" s="6"/>
      <c r="L716" s="4"/>
      <c r="M716" s="4"/>
      <c r="N716" s="8"/>
      <c r="O716" s="8"/>
      <c r="P716" s="9"/>
      <c r="Q716" s="8"/>
      <c r="R716" s="8"/>
      <c r="S716" s="9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10"/>
    </row>
    <row r="717" spans="1:39" x14ac:dyDescent="0.2">
      <c r="A717" s="2" t="str">
        <f>IF($G717="","",IF(ISERROR(MATCH($N717,Lge_Scratch!$B:$B,0)),1,0))</f>
        <v/>
      </c>
      <c r="B717" s="2" t="str">
        <f>IF($G717="","",IF(AND(LEFT($Q717,8)="Non-aero",ISERROR(MATCH($N717,Lge_NonAero!$B:$B,0))),1,0))</f>
        <v/>
      </c>
      <c r="C717" s="5" t="str">
        <f>IF($G717="","",IF(AND(LEFT($O717,3)="Wom",ISERROR(MATCH($N717,Lge_Women!$B:$B,0))),1,0))</f>
        <v/>
      </c>
      <c r="D717" s="2" t="str">
        <f>IF($G717="","",IF(AND(OR($O717="Vet",$O717="Woman Vet"),ISERROR(MATCH($N717,Lge_Vets!$B:$B,0))),1,0))</f>
        <v/>
      </c>
      <c r="E717" s="2" t="str">
        <f>IF($G717="","",IF(AND(OR($O717="Junior",$O717="Woman Junior",$O717="Youth",$O717="Woman Youth"),ISERROR(MATCH($N717,Lge_Junior!$B:$B,0))),1,0))</f>
        <v/>
      </c>
      <c r="F717" s="2" t="str">
        <f>IF($G717="","",IF(AND(LEFT($O717,3)="You",ISERROR(MATCH($N717,Lge_Youth!$B:$B,0))),1,0))</f>
        <v/>
      </c>
      <c r="G717" s="3"/>
      <c r="H717" s="3"/>
      <c r="I717" s="3"/>
      <c r="J717" s="3"/>
      <c r="K717" s="6"/>
      <c r="L717" s="4"/>
      <c r="M717" s="4"/>
      <c r="N717" s="8"/>
      <c r="O717" s="8"/>
      <c r="P717" s="9"/>
      <c r="Q717" s="8"/>
      <c r="R717" s="8"/>
      <c r="S717" s="9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10"/>
    </row>
    <row r="718" spans="1:39" x14ac:dyDescent="0.2">
      <c r="A718" s="2" t="str">
        <f>IF($G718="","",IF(ISERROR(MATCH($N718,Lge_Scratch!$B:$B,0)),1,0))</f>
        <v/>
      </c>
      <c r="B718" s="2" t="str">
        <f>IF($G718="","",IF(AND(LEFT($Q718,8)="Non-aero",ISERROR(MATCH($N718,Lge_NonAero!$B:$B,0))),1,0))</f>
        <v/>
      </c>
      <c r="C718" s="5" t="str">
        <f>IF($G718="","",IF(AND(LEFT($O718,3)="Wom",ISERROR(MATCH($N718,Lge_Women!$B:$B,0))),1,0))</f>
        <v/>
      </c>
      <c r="D718" s="2" t="str">
        <f>IF($G718="","",IF(AND(OR($O718="Vet",$O718="Woman Vet"),ISERROR(MATCH($N718,Lge_Vets!$B:$B,0))),1,0))</f>
        <v/>
      </c>
      <c r="E718" s="2" t="str">
        <f>IF($G718="","",IF(AND(OR($O718="Junior",$O718="Woman Junior",$O718="Youth",$O718="Woman Youth"),ISERROR(MATCH($N718,Lge_Junior!$B:$B,0))),1,0))</f>
        <v/>
      </c>
      <c r="F718" s="2" t="str">
        <f>IF($G718="","",IF(AND(LEFT($O718,3)="You",ISERROR(MATCH($N718,Lge_Youth!$B:$B,0))),1,0))</f>
        <v/>
      </c>
      <c r="G718" s="3"/>
      <c r="H718" s="3"/>
      <c r="I718" s="3"/>
      <c r="J718" s="3"/>
      <c r="K718" s="6"/>
      <c r="L718" s="4"/>
      <c r="M718" s="4"/>
      <c r="N718" s="8"/>
      <c r="O718" s="8"/>
      <c r="P718" s="9"/>
      <c r="Q718" s="8"/>
      <c r="R718" s="8"/>
      <c r="S718" s="9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10"/>
    </row>
    <row r="719" spans="1:39" x14ac:dyDescent="0.2">
      <c r="A719" s="2" t="str">
        <f>IF($G719="","",IF(ISERROR(MATCH($N719,Lge_Scratch!$B:$B,0)),1,0))</f>
        <v/>
      </c>
      <c r="B719" s="2" t="str">
        <f>IF($G719="","",IF(AND(LEFT($Q719,8)="Non-aero",ISERROR(MATCH($N719,Lge_NonAero!$B:$B,0))),1,0))</f>
        <v/>
      </c>
      <c r="C719" s="5" t="str">
        <f>IF($G719="","",IF(AND(LEFT($O719,3)="Wom",ISERROR(MATCH($N719,Lge_Women!$B:$B,0))),1,0))</f>
        <v/>
      </c>
      <c r="D719" s="2" t="str">
        <f>IF($G719="","",IF(AND(OR($O719="Vet",$O719="Woman Vet"),ISERROR(MATCH($N719,Lge_Vets!$B:$B,0))),1,0))</f>
        <v/>
      </c>
      <c r="E719" s="2" t="str">
        <f>IF($G719="","",IF(AND(OR($O719="Junior",$O719="Woman Junior",$O719="Youth",$O719="Woman Youth"),ISERROR(MATCH($N719,Lge_Junior!$B:$B,0))),1,0))</f>
        <v/>
      </c>
      <c r="F719" s="2" t="str">
        <f>IF($G719="","",IF(AND(LEFT($O719,3)="You",ISERROR(MATCH($N719,Lge_Youth!$B:$B,0))),1,0))</f>
        <v/>
      </c>
      <c r="G719" s="3"/>
      <c r="H719" s="3"/>
      <c r="I719" s="3"/>
      <c r="J719" s="3"/>
      <c r="K719" s="6"/>
      <c r="L719" s="4"/>
      <c r="M719" s="4"/>
      <c r="N719" s="8"/>
      <c r="O719" s="8"/>
      <c r="P719" s="9"/>
      <c r="Q719" s="8"/>
      <c r="R719" s="8"/>
      <c r="S719" s="9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10"/>
    </row>
    <row r="720" spans="1:39" x14ac:dyDescent="0.2">
      <c r="A720" s="2" t="str">
        <f>IF($G720="","",IF(ISERROR(MATCH($N720,Lge_Scratch!$B:$B,0)),1,0))</f>
        <v/>
      </c>
      <c r="B720" s="2" t="str">
        <f>IF($G720="","",IF(AND(LEFT($Q720,8)="Non-aero",ISERROR(MATCH($N720,Lge_NonAero!$B:$B,0))),1,0))</f>
        <v/>
      </c>
      <c r="C720" s="5" t="str">
        <f>IF($G720="","",IF(AND(LEFT($O720,3)="Wom",ISERROR(MATCH($N720,Lge_Women!$B:$B,0))),1,0))</f>
        <v/>
      </c>
      <c r="D720" s="2" t="str">
        <f>IF($G720="","",IF(AND(OR($O720="Vet",$O720="Woman Vet"),ISERROR(MATCH($N720,Lge_Vets!$B:$B,0))),1,0))</f>
        <v/>
      </c>
      <c r="E720" s="2" t="str">
        <f>IF($G720="","",IF(AND(OR($O720="Junior",$O720="Woman Junior",$O720="Youth",$O720="Woman Youth"),ISERROR(MATCH($N720,Lge_Junior!$B:$B,0))),1,0))</f>
        <v/>
      </c>
      <c r="F720" s="2" t="str">
        <f>IF($G720="","",IF(AND(LEFT($O720,3)="You",ISERROR(MATCH($N720,Lge_Youth!$B:$B,0))),1,0))</f>
        <v/>
      </c>
      <c r="G720" s="3"/>
      <c r="H720" s="3"/>
      <c r="I720" s="3"/>
      <c r="J720" s="3"/>
      <c r="K720" s="6"/>
      <c r="L720" s="4"/>
      <c r="M720" s="4"/>
      <c r="N720" s="8"/>
      <c r="O720" s="8"/>
      <c r="P720" s="9"/>
      <c r="Q720" s="8"/>
      <c r="R720" s="8"/>
      <c r="S720" s="9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10"/>
    </row>
    <row r="721" spans="1:39" x14ac:dyDescent="0.2">
      <c r="A721" s="2" t="str">
        <f>IF($G721="","",IF(ISERROR(MATCH($N721,Lge_Scratch!$B:$B,0)),1,0))</f>
        <v/>
      </c>
      <c r="B721" s="2" t="str">
        <f>IF($G721="","",IF(AND(LEFT($Q721,8)="Non-aero",ISERROR(MATCH($N721,Lge_NonAero!$B:$B,0))),1,0))</f>
        <v/>
      </c>
      <c r="C721" s="5" t="str">
        <f>IF($G721="","",IF(AND(LEFT($O721,3)="Wom",ISERROR(MATCH($N721,Lge_Women!$B:$B,0))),1,0))</f>
        <v/>
      </c>
      <c r="D721" s="2" t="str">
        <f>IF($G721="","",IF(AND(OR($O721="Vet",$O721="Woman Vet"),ISERROR(MATCH($N721,Lge_Vets!$B:$B,0))),1,0))</f>
        <v/>
      </c>
      <c r="E721" s="2" t="str">
        <f>IF($G721="","",IF(AND(OR($O721="Junior",$O721="Woman Junior",$O721="Youth",$O721="Woman Youth"),ISERROR(MATCH($N721,Lge_Junior!$B:$B,0))),1,0))</f>
        <v/>
      </c>
      <c r="F721" s="2" t="str">
        <f>IF($G721="","",IF(AND(LEFT($O721,3)="You",ISERROR(MATCH($N721,Lge_Youth!$B:$B,0))),1,0))</f>
        <v/>
      </c>
      <c r="G721" s="3"/>
      <c r="H721" s="3"/>
      <c r="I721" s="3"/>
      <c r="J721" s="3"/>
      <c r="K721" s="6"/>
      <c r="L721" s="4"/>
      <c r="M721" s="4"/>
      <c r="N721" s="8"/>
      <c r="O721" s="8"/>
      <c r="P721" s="9"/>
      <c r="Q721" s="8"/>
      <c r="R721" s="8"/>
      <c r="S721" s="9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10"/>
    </row>
    <row r="722" spans="1:39" x14ac:dyDescent="0.2">
      <c r="A722" s="2" t="str">
        <f>IF($G722="","",IF(ISERROR(MATCH($N722,Lge_Scratch!$B:$B,0)),1,0))</f>
        <v/>
      </c>
      <c r="B722" s="2" t="str">
        <f>IF($G722="","",IF(AND(LEFT($Q722,8)="Non-aero",ISERROR(MATCH($N722,Lge_NonAero!$B:$B,0))),1,0))</f>
        <v/>
      </c>
      <c r="C722" s="5" t="str">
        <f>IF($G722="","",IF(AND(LEFT($O722,3)="Wom",ISERROR(MATCH($N722,Lge_Women!$B:$B,0))),1,0))</f>
        <v/>
      </c>
      <c r="D722" s="2" t="str">
        <f>IF($G722="","",IF(AND(OR($O722="Vet",$O722="Woman Vet"),ISERROR(MATCH($N722,Lge_Vets!$B:$B,0))),1,0))</f>
        <v/>
      </c>
      <c r="E722" s="2" t="str">
        <f>IF($G722="","",IF(AND(OR($O722="Junior",$O722="Woman Junior",$O722="Youth",$O722="Woman Youth"),ISERROR(MATCH($N722,Lge_Junior!$B:$B,0))),1,0))</f>
        <v/>
      </c>
      <c r="F722" s="2" t="str">
        <f>IF($G722="","",IF(AND(LEFT($O722,3)="You",ISERROR(MATCH($N722,Lge_Youth!$B:$B,0))),1,0))</f>
        <v/>
      </c>
      <c r="G722" s="3"/>
      <c r="H722" s="3"/>
      <c r="I722" s="3"/>
      <c r="J722" s="3"/>
      <c r="K722" s="6"/>
      <c r="L722" s="4"/>
      <c r="M722" s="4"/>
      <c r="N722" s="8"/>
      <c r="O722" s="8"/>
      <c r="P722" s="9"/>
      <c r="Q722" s="8"/>
      <c r="R722" s="8"/>
      <c r="S722" s="9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10"/>
    </row>
    <row r="723" spans="1:39" x14ac:dyDescent="0.2">
      <c r="A723" s="2" t="str">
        <f>IF($G723="","",IF(ISERROR(MATCH($N723,Lge_Scratch!$B:$B,0)),1,0))</f>
        <v/>
      </c>
      <c r="B723" s="2" t="str">
        <f>IF($G723="","",IF(AND(LEFT($Q723,8)="Non-aero",ISERROR(MATCH($N723,Lge_NonAero!$B:$B,0))),1,0))</f>
        <v/>
      </c>
      <c r="C723" s="5" t="str">
        <f>IF($G723="","",IF(AND(LEFT($O723,3)="Wom",ISERROR(MATCH($N723,Lge_Women!$B:$B,0))),1,0))</f>
        <v/>
      </c>
      <c r="D723" s="2" t="str">
        <f>IF($G723="","",IF(AND(OR($O723="Vet",$O723="Woman Vet"),ISERROR(MATCH($N723,Lge_Vets!$B:$B,0))),1,0))</f>
        <v/>
      </c>
      <c r="E723" s="2" t="str">
        <f>IF($G723="","",IF(AND(OR($O723="Junior",$O723="Woman Junior",$O723="Youth",$O723="Woman Youth"),ISERROR(MATCH($N723,Lge_Junior!$B:$B,0))),1,0))</f>
        <v/>
      </c>
      <c r="F723" s="2" t="str">
        <f>IF($G723="","",IF(AND(LEFT($O723,3)="You",ISERROR(MATCH($N723,Lge_Youth!$B:$B,0))),1,0))</f>
        <v/>
      </c>
      <c r="G723" s="3"/>
      <c r="H723" s="3"/>
      <c r="I723" s="3"/>
      <c r="J723" s="3"/>
      <c r="K723" s="6"/>
      <c r="L723" s="4"/>
      <c r="M723" s="4"/>
      <c r="N723" s="8"/>
      <c r="O723" s="8"/>
      <c r="P723" s="9"/>
      <c r="Q723" s="8"/>
      <c r="R723" s="8"/>
      <c r="S723" s="9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10"/>
    </row>
    <row r="724" spans="1:39" x14ac:dyDescent="0.2">
      <c r="A724" s="2" t="str">
        <f>IF($G724="","",IF(ISERROR(MATCH($N724,Lge_Scratch!$B:$B,0)),1,0))</f>
        <v/>
      </c>
      <c r="B724" s="2" t="str">
        <f>IF($G724="","",IF(AND(LEFT($Q724,8)="Non-aero",ISERROR(MATCH($N724,Lge_NonAero!$B:$B,0))),1,0))</f>
        <v/>
      </c>
      <c r="C724" s="5" t="str">
        <f>IF($G724="","",IF(AND(LEFT($O724,3)="Wom",ISERROR(MATCH($N724,Lge_Women!$B:$B,0))),1,0))</f>
        <v/>
      </c>
      <c r="D724" s="2" t="str">
        <f>IF($G724="","",IF(AND(OR($O724="Vet",$O724="Woman Vet"),ISERROR(MATCH($N724,Lge_Vets!$B:$B,0))),1,0))</f>
        <v/>
      </c>
      <c r="E724" s="2" t="str">
        <f>IF($G724="","",IF(AND(OR($O724="Junior",$O724="Woman Junior",$O724="Youth",$O724="Woman Youth"),ISERROR(MATCH($N724,Lge_Junior!$B:$B,0))),1,0))</f>
        <v/>
      </c>
      <c r="F724" s="2" t="str">
        <f>IF($G724="","",IF(AND(LEFT($O724,3)="You",ISERROR(MATCH($N724,Lge_Youth!$B:$B,0))),1,0))</f>
        <v/>
      </c>
      <c r="G724" s="3"/>
      <c r="H724" s="3"/>
      <c r="I724" s="3"/>
      <c r="J724" s="3"/>
      <c r="K724" s="6"/>
      <c r="L724" s="4"/>
      <c r="M724" s="4"/>
      <c r="N724" s="8"/>
      <c r="O724" s="8"/>
      <c r="P724" s="9"/>
      <c r="Q724" s="8"/>
      <c r="R724" s="8"/>
      <c r="S724" s="9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10"/>
    </row>
    <row r="725" spans="1:39" x14ac:dyDescent="0.2">
      <c r="A725" s="2" t="str">
        <f>IF($G725="","",IF(ISERROR(MATCH($N725,Lge_Scratch!$B:$B,0)),1,0))</f>
        <v/>
      </c>
      <c r="B725" s="2" t="str">
        <f>IF($G725="","",IF(AND(LEFT($Q725,8)="Non-aero",ISERROR(MATCH($N725,Lge_NonAero!$B:$B,0))),1,0))</f>
        <v/>
      </c>
      <c r="C725" s="5" t="str">
        <f>IF($G725="","",IF(AND(LEFT($O725,3)="Wom",ISERROR(MATCH($N725,Lge_Women!$B:$B,0))),1,0))</f>
        <v/>
      </c>
      <c r="D725" s="2" t="str">
        <f>IF($G725="","",IF(AND(OR($O725="Vet",$O725="Woman Vet"),ISERROR(MATCH($N725,Lge_Vets!$B:$B,0))),1,0))</f>
        <v/>
      </c>
      <c r="E725" s="2" t="str">
        <f>IF($G725="","",IF(AND(OR($O725="Junior",$O725="Woman Junior",$O725="Youth",$O725="Woman Youth"),ISERROR(MATCH($N725,Lge_Junior!$B:$B,0))),1,0))</f>
        <v/>
      </c>
      <c r="F725" s="2" t="str">
        <f>IF($G725="","",IF(AND(LEFT($O725,3)="You",ISERROR(MATCH($N725,Lge_Youth!$B:$B,0))),1,0))</f>
        <v/>
      </c>
      <c r="G725" s="3"/>
      <c r="H725" s="3"/>
      <c r="I725" s="3"/>
      <c r="J725" s="3"/>
      <c r="K725" s="6"/>
      <c r="L725" s="4"/>
      <c r="M725" s="4"/>
      <c r="N725" s="8"/>
      <c r="O725" s="8"/>
      <c r="P725" s="9"/>
      <c r="Q725" s="8"/>
      <c r="R725" s="8"/>
      <c r="S725" s="9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10"/>
    </row>
    <row r="726" spans="1:39" x14ac:dyDescent="0.2">
      <c r="A726" s="2" t="str">
        <f>IF($G726="","",IF(ISERROR(MATCH($N726,Lge_Scratch!$B:$B,0)),1,0))</f>
        <v/>
      </c>
      <c r="B726" s="2" t="str">
        <f>IF($G726="","",IF(AND(LEFT($Q726,8)="Non-aero",ISERROR(MATCH($N726,Lge_NonAero!$B:$B,0))),1,0))</f>
        <v/>
      </c>
      <c r="C726" s="5" t="str">
        <f>IF($G726="","",IF(AND(LEFT($O726,3)="Wom",ISERROR(MATCH($N726,Lge_Women!$B:$B,0))),1,0))</f>
        <v/>
      </c>
      <c r="D726" s="2" t="str">
        <f>IF($G726="","",IF(AND(OR($O726="Vet",$O726="Woman Vet"),ISERROR(MATCH($N726,Lge_Vets!$B:$B,0))),1,0))</f>
        <v/>
      </c>
      <c r="E726" s="2" t="str">
        <f>IF($G726="","",IF(AND(OR($O726="Junior",$O726="Woman Junior",$O726="Youth",$O726="Woman Youth"),ISERROR(MATCH($N726,Lge_Junior!$B:$B,0))),1,0))</f>
        <v/>
      </c>
      <c r="F726" s="2" t="str">
        <f>IF($G726="","",IF(AND(LEFT($O726,3)="You",ISERROR(MATCH($N726,Lge_Youth!$B:$B,0))),1,0))</f>
        <v/>
      </c>
      <c r="G726" s="3"/>
      <c r="H726" s="3"/>
      <c r="I726" s="3"/>
      <c r="J726" s="3"/>
      <c r="K726" s="6"/>
      <c r="L726" s="4"/>
      <c r="M726" s="4"/>
      <c r="N726" s="8"/>
      <c r="O726" s="8"/>
      <c r="P726" s="9"/>
      <c r="Q726" s="8"/>
      <c r="R726" s="8"/>
      <c r="S726" s="9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10"/>
    </row>
    <row r="727" spans="1:39" x14ac:dyDescent="0.2">
      <c r="A727" s="2" t="str">
        <f>IF($G727="","",IF(ISERROR(MATCH($N727,Lge_Scratch!$B:$B,0)),1,0))</f>
        <v/>
      </c>
      <c r="B727" s="2" t="str">
        <f>IF($G727="","",IF(AND(LEFT($Q727,8)="Non-aero",ISERROR(MATCH($N727,Lge_NonAero!$B:$B,0))),1,0))</f>
        <v/>
      </c>
      <c r="C727" s="5" t="str">
        <f>IF($G727="","",IF(AND(LEFT($O727,3)="Wom",ISERROR(MATCH($N727,Lge_Women!$B:$B,0))),1,0))</f>
        <v/>
      </c>
      <c r="D727" s="2" t="str">
        <f>IF($G727="","",IF(AND(OR($O727="Vet",$O727="Woman Vet"),ISERROR(MATCH($N727,Lge_Vets!$B:$B,0))),1,0))</f>
        <v/>
      </c>
      <c r="E727" s="2" t="str">
        <f>IF($G727="","",IF(AND(OR($O727="Junior",$O727="Woman Junior",$O727="Youth",$O727="Woman Youth"),ISERROR(MATCH($N727,Lge_Junior!$B:$B,0))),1,0))</f>
        <v/>
      </c>
      <c r="F727" s="2" t="str">
        <f>IF($G727="","",IF(AND(LEFT($O727,3)="You",ISERROR(MATCH($N727,Lge_Youth!$B:$B,0))),1,0))</f>
        <v/>
      </c>
      <c r="G727" s="3"/>
      <c r="H727" s="3"/>
      <c r="I727" s="3"/>
      <c r="J727" s="3"/>
      <c r="K727" s="6"/>
      <c r="L727" s="4"/>
      <c r="M727" s="4"/>
      <c r="N727" s="8"/>
      <c r="O727" s="8"/>
      <c r="P727" s="9"/>
      <c r="Q727" s="8"/>
      <c r="R727" s="8"/>
      <c r="S727" s="9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10"/>
    </row>
    <row r="728" spans="1:39" x14ac:dyDescent="0.2">
      <c r="A728" s="2" t="str">
        <f>IF($G728="","",IF(ISERROR(MATCH($N728,Lge_Scratch!$B:$B,0)),1,0))</f>
        <v/>
      </c>
      <c r="B728" s="2" t="str">
        <f>IF($G728="","",IF(AND(LEFT($Q728,8)="Non-aero",ISERROR(MATCH($N728,Lge_NonAero!$B:$B,0))),1,0))</f>
        <v/>
      </c>
      <c r="C728" s="5" t="str">
        <f>IF($G728="","",IF(AND(LEFT($O728,3)="Wom",ISERROR(MATCH($N728,Lge_Women!$B:$B,0))),1,0))</f>
        <v/>
      </c>
      <c r="D728" s="2" t="str">
        <f>IF($G728="","",IF(AND(OR($O728="Vet",$O728="Woman Vet"),ISERROR(MATCH($N728,Lge_Vets!$B:$B,0))),1,0))</f>
        <v/>
      </c>
      <c r="E728" s="2" t="str">
        <f>IF($G728="","",IF(AND(OR($O728="Junior",$O728="Woman Junior",$O728="Youth",$O728="Woman Youth"),ISERROR(MATCH($N728,Lge_Junior!$B:$B,0))),1,0))</f>
        <v/>
      </c>
      <c r="F728" s="2" t="str">
        <f>IF($G728="","",IF(AND(LEFT($O728,3)="You",ISERROR(MATCH($N728,Lge_Youth!$B:$B,0))),1,0))</f>
        <v/>
      </c>
      <c r="G728" s="3"/>
      <c r="H728" s="3"/>
      <c r="I728" s="3"/>
      <c r="J728" s="3"/>
      <c r="K728" s="6"/>
      <c r="L728" s="4"/>
      <c r="M728" s="4"/>
      <c r="N728" s="8"/>
      <c r="O728" s="8"/>
      <c r="P728" s="9"/>
      <c r="Q728" s="8"/>
      <c r="R728" s="8"/>
      <c r="S728" s="9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10"/>
    </row>
    <row r="729" spans="1:39" x14ac:dyDescent="0.2">
      <c r="A729" s="2" t="str">
        <f>IF($G729="","",IF(ISERROR(MATCH($N729,Lge_Scratch!$B:$B,0)),1,0))</f>
        <v/>
      </c>
      <c r="B729" s="2" t="str">
        <f>IF($G729="","",IF(AND(LEFT($Q729,8)="Non-aero",ISERROR(MATCH($N729,Lge_NonAero!$B:$B,0))),1,0))</f>
        <v/>
      </c>
      <c r="C729" s="5" t="str">
        <f>IF($G729="","",IF(AND(LEFT($O729,3)="Wom",ISERROR(MATCH($N729,Lge_Women!$B:$B,0))),1,0))</f>
        <v/>
      </c>
      <c r="D729" s="2" t="str">
        <f>IF($G729="","",IF(AND(OR($O729="Vet",$O729="Woman Vet"),ISERROR(MATCH($N729,Lge_Vets!$B:$B,0))),1,0))</f>
        <v/>
      </c>
      <c r="E729" s="2" t="str">
        <f>IF($G729="","",IF(AND(OR($O729="Junior",$O729="Woman Junior",$O729="Youth",$O729="Woman Youth"),ISERROR(MATCH($N729,Lge_Junior!$B:$B,0))),1,0))</f>
        <v/>
      </c>
      <c r="F729" s="2" t="str">
        <f>IF($G729="","",IF(AND(LEFT($O729,3)="You",ISERROR(MATCH($N729,Lge_Youth!$B:$B,0))),1,0))</f>
        <v/>
      </c>
      <c r="G729" s="3"/>
      <c r="H729" s="3"/>
      <c r="I729" s="3"/>
      <c r="J729" s="3"/>
      <c r="K729" s="6"/>
      <c r="L729" s="4"/>
      <c r="M729" s="4"/>
      <c r="N729" s="8"/>
      <c r="O729" s="8"/>
      <c r="P729" s="9"/>
      <c r="Q729" s="8"/>
      <c r="R729" s="8"/>
      <c r="S729" s="9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10"/>
    </row>
    <row r="730" spans="1:39" x14ac:dyDescent="0.2">
      <c r="A730" s="2" t="str">
        <f>IF($G730="","",IF(ISERROR(MATCH($N730,Lge_Scratch!$B:$B,0)),1,0))</f>
        <v/>
      </c>
      <c r="B730" s="2" t="str">
        <f>IF($G730="","",IF(AND(LEFT($Q730,8)="Non-aero",ISERROR(MATCH($N730,Lge_NonAero!$B:$B,0))),1,0))</f>
        <v/>
      </c>
      <c r="C730" s="5" t="str">
        <f>IF($G730="","",IF(AND(LEFT($O730,3)="Wom",ISERROR(MATCH($N730,Lge_Women!$B:$B,0))),1,0))</f>
        <v/>
      </c>
      <c r="D730" s="2" t="str">
        <f>IF($G730="","",IF(AND(OR($O730="Vet",$O730="Woman Vet"),ISERROR(MATCH($N730,Lge_Vets!$B:$B,0))),1,0))</f>
        <v/>
      </c>
      <c r="E730" s="2" t="str">
        <f>IF($G730="","",IF(AND(OR($O730="Junior",$O730="Woman Junior",$O730="Youth",$O730="Woman Youth"),ISERROR(MATCH($N730,Lge_Junior!$B:$B,0))),1,0))</f>
        <v/>
      </c>
      <c r="F730" s="2" t="str">
        <f>IF($G730="","",IF(AND(LEFT($O730,3)="You",ISERROR(MATCH($N730,Lge_Youth!$B:$B,0))),1,0))</f>
        <v/>
      </c>
      <c r="G730" s="3"/>
      <c r="H730" s="3"/>
      <c r="I730" s="3"/>
      <c r="J730" s="3"/>
      <c r="K730" s="6"/>
      <c r="L730" s="4"/>
      <c r="M730" s="4"/>
      <c r="N730" s="8"/>
      <c r="O730" s="8"/>
      <c r="P730" s="9"/>
      <c r="Q730" s="8"/>
      <c r="R730" s="8"/>
      <c r="S730" s="9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10"/>
    </row>
    <row r="731" spans="1:39" x14ac:dyDescent="0.2">
      <c r="A731" s="2" t="str">
        <f>IF($G731="","",IF(ISERROR(MATCH($N731,Lge_Scratch!$B:$B,0)),1,0))</f>
        <v/>
      </c>
      <c r="B731" s="2" t="str">
        <f>IF($G731="","",IF(AND(LEFT($Q731,8)="Non-aero",ISERROR(MATCH($N731,Lge_NonAero!$B:$B,0))),1,0))</f>
        <v/>
      </c>
      <c r="C731" s="5" t="str">
        <f>IF($G731="","",IF(AND(LEFT($O731,3)="Wom",ISERROR(MATCH($N731,Lge_Women!$B:$B,0))),1,0))</f>
        <v/>
      </c>
      <c r="D731" s="2" t="str">
        <f>IF($G731="","",IF(AND(OR($O731="Vet",$O731="Woman Vet"),ISERROR(MATCH($N731,Lge_Vets!$B:$B,0))),1,0))</f>
        <v/>
      </c>
      <c r="E731" s="2" t="str">
        <f>IF($G731="","",IF(AND(OR($O731="Junior",$O731="Woman Junior",$O731="Youth",$O731="Woman Youth"),ISERROR(MATCH($N731,Lge_Junior!$B:$B,0))),1,0))</f>
        <v/>
      </c>
      <c r="F731" s="2" t="str">
        <f>IF($G731="","",IF(AND(LEFT($O731,3)="You",ISERROR(MATCH($N731,Lge_Youth!$B:$B,0))),1,0))</f>
        <v/>
      </c>
      <c r="G731" s="3"/>
      <c r="H731" s="3"/>
      <c r="I731" s="3"/>
      <c r="J731" s="3"/>
      <c r="K731" s="6"/>
      <c r="L731" s="4"/>
      <c r="M731" s="4"/>
      <c r="N731" s="8"/>
      <c r="O731" s="8"/>
      <c r="P731" s="9"/>
      <c r="Q731" s="8"/>
      <c r="R731" s="8"/>
      <c r="S731" s="9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10"/>
    </row>
    <row r="732" spans="1:39" x14ac:dyDescent="0.2">
      <c r="A732" s="2" t="str">
        <f>IF($G732="","",IF(ISERROR(MATCH($N732,Lge_Scratch!$B:$B,0)),1,0))</f>
        <v/>
      </c>
      <c r="B732" s="2" t="str">
        <f>IF($G732="","",IF(AND(LEFT($Q732,8)="Non-aero",ISERROR(MATCH($N732,Lge_NonAero!$B:$B,0))),1,0))</f>
        <v/>
      </c>
      <c r="C732" s="5" t="str">
        <f>IF($G732="","",IF(AND(LEFT($O732,3)="Wom",ISERROR(MATCH($N732,Lge_Women!$B:$B,0))),1,0))</f>
        <v/>
      </c>
      <c r="D732" s="2" t="str">
        <f>IF($G732="","",IF(AND(OR($O732="Vet",$O732="Woman Vet"),ISERROR(MATCH($N732,Lge_Vets!$B:$B,0))),1,0))</f>
        <v/>
      </c>
      <c r="E732" s="2" t="str">
        <f>IF($G732="","",IF(AND(OR($O732="Junior",$O732="Woman Junior",$O732="Youth",$O732="Woman Youth"),ISERROR(MATCH($N732,Lge_Junior!$B:$B,0))),1,0))</f>
        <v/>
      </c>
      <c r="F732" s="2" t="str">
        <f>IF($G732="","",IF(AND(LEFT($O732,3)="You",ISERROR(MATCH($N732,Lge_Youth!$B:$B,0))),1,0))</f>
        <v/>
      </c>
      <c r="G732" s="3"/>
      <c r="H732" s="3"/>
      <c r="I732" s="3"/>
      <c r="J732" s="3"/>
      <c r="K732" s="6"/>
      <c r="L732" s="4"/>
      <c r="M732" s="4"/>
      <c r="N732" s="8"/>
      <c r="O732" s="8"/>
      <c r="P732" s="9"/>
      <c r="Q732" s="8"/>
      <c r="R732" s="8"/>
      <c r="S732" s="9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10"/>
    </row>
    <row r="733" spans="1:39" x14ac:dyDescent="0.2">
      <c r="A733" s="2" t="str">
        <f>IF($G733="","",IF(ISERROR(MATCH($N733,Lge_Scratch!$B:$B,0)),1,0))</f>
        <v/>
      </c>
      <c r="B733" s="2" t="str">
        <f>IF($G733="","",IF(AND(LEFT($Q733,8)="Non-aero",ISERROR(MATCH($N733,Lge_NonAero!$B:$B,0))),1,0))</f>
        <v/>
      </c>
      <c r="C733" s="5" t="str">
        <f>IF($G733="","",IF(AND(LEFT($O733,3)="Wom",ISERROR(MATCH($N733,Lge_Women!$B:$B,0))),1,0))</f>
        <v/>
      </c>
      <c r="D733" s="2" t="str">
        <f>IF($G733="","",IF(AND(OR($O733="Vet",$O733="Woman Vet"),ISERROR(MATCH($N733,Lge_Vets!$B:$B,0))),1,0))</f>
        <v/>
      </c>
      <c r="E733" s="2" t="str">
        <f>IF($G733="","",IF(AND(OR($O733="Junior",$O733="Woman Junior",$O733="Youth",$O733="Woman Youth"),ISERROR(MATCH($N733,Lge_Junior!$B:$B,0))),1,0))</f>
        <v/>
      </c>
      <c r="F733" s="2" t="str">
        <f>IF($G733="","",IF(AND(LEFT($O733,3)="You",ISERROR(MATCH($N733,Lge_Youth!$B:$B,0))),1,0))</f>
        <v/>
      </c>
      <c r="G733" s="3"/>
      <c r="H733" s="3"/>
      <c r="I733" s="3"/>
      <c r="J733" s="3"/>
      <c r="K733" s="6"/>
      <c r="L733" s="4"/>
      <c r="M733" s="4"/>
      <c r="N733" s="8"/>
      <c r="O733" s="8"/>
      <c r="P733" s="9"/>
      <c r="Q733" s="8"/>
      <c r="R733" s="8"/>
      <c r="S733" s="9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10"/>
    </row>
    <row r="734" spans="1:39" x14ac:dyDescent="0.2">
      <c r="A734" s="2" t="str">
        <f>IF($G734="","",IF(ISERROR(MATCH($N734,Lge_Scratch!$B:$B,0)),1,0))</f>
        <v/>
      </c>
      <c r="B734" s="2" t="str">
        <f>IF($G734="","",IF(AND(LEFT($Q734,8)="Non-aero",ISERROR(MATCH($N734,Lge_NonAero!$B:$B,0))),1,0))</f>
        <v/>
      </c>
      <c r="C734" s="5" t="str">
        <f>IF($G734="","",IF(AND(LEFT($O734,3)="Wom",ISERROR(MATCH($N734,Lge_Women!$B:$B,0))),1,0))</f>
        <v/>
      </c>
      <c r="D734" s="2" t="str">
        <f>IF($G734="","",IF(AND(OR($O734="Vet",$O734="Woman Vet"),ISERROR(MATCH($N734,Lge_Vets!$B:$B,0))),1,0))</f>
        <v/>
      </c>
      <c r="E734" s="2" t="str">
        <f>IF($G734="","",IF(AND(OR($O734="Junior",$O734="Woman Junior",$O734="Youth",$O734="Woman Youth"),ISERROR(MATCH($N734,Lge_Junior!$B:$B,0))),1,0))</f>
        <v/>
      </c>
      <c r="F734" s="2" t="str">
        <f>IF($G734="","",IF(AND(LEFT($O734,3)="You",ISERROR(MATCH($N734,Lge_Youth!$B:$B,0))),1,0))</f>
        <v/>
      </c>
      <c r="G734" s="3"/>
      <c r="H734" s="3"/>
      <c r="I734" s="3"/>
      <c r="J734" s="3"/>
      <c r="K734" s="6"/>
      <c r="L734" s="4"/>
      <c r="M734" s="4"/>
      <c r="N734" s="8"/>
      <c r="O734" s="8"/>
      <c r="P734" s="9"/>
      <c r="Q734" s="8"/>
      <c r="R734" s="8"/>
      <c r="S734" s="9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10"/>
    </row>
    <row r="735" spans="1:39" x14ac:dyDescent="0.2">
      <c r="A735" s="2" t="str">
        <f>IF($G735="","",IF(ISERROR(MATCH($N735,Lge_Scratch!$B:$B,0)),1,0))</f>
        <v/>
      </c>
      <c r="B735" s="2" t="str">
        <f>IF($G735="","",IF(AND(LEFT($Q735,8)="Non-aero",ISERROR(MATCH($N735,Lge_NonAero!$B:$B,0))),1,0))</f>
        <v/>
      </c>
      <c r="C735" s="5" t="str">
        <f>IF($G735="","",IF(AND(LEFT($O735,3)="Wom",ISERROR(MATCH($N735,Lge_Women!$B:$B,0))),1,0))</f>
        <v/>
      </c>
      <c r="D735" s="2" t="str">
        <f>IF($G735="","",IF(AND(OR($O735="Vet",$O735="Woman Vet"),ISERROR(MATCH($N735,Lge_Vets!$B:$B,0))),1,0))</f>
        <v/>
      </c>
      <c r="E735" s="2" t="str">
        <f>IF($G735="","",IF(AND(OR($O735="Junior",$O735="Woman Junior",$O735="Youth",$O735="Woman Youth"),ISERROR(MATCH($N735,Lge_Junior!$B:$B,0))),1,0))</f>
        <v/>
      </c>
      <c r="F735" s="2" t="str">
        <f>IF($G735="","",IF(AND(LEFT($O735,3)="You",ISERROR(MATCH($N735,Lge_Youth!$B:$B,0))),1,0))</f>
        <v/>
      </c>
      <c r="G735" s="3"/>
      <c r="H735" s="3"/>
      <c r="I735" s="3"/>
      <c r="J735" s="3"/>
      <c r="K735" s="6"/>
      <c r="L735" s="4"/>
      <c r="M735" s="4"/>
      <c r="N735" s="8"/>
      <c r="O735" s="8"/>
      <c r="P735" s="9"/>
      <c r="Q735" s="8"/>
      <c r="R735" s="8"/>
      <c r="S735" s="9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10"/>
    </row>
    <row r="736" spans="1:39" x14ac:dyDescent="0.2">
      <c r="A736" s="2" t="str">
        <f>IF($G736="","",IF(ISERROR(MATCH($N736,Lge_Scratch!$B:$B,0)),1,0))</f>
        <v/>
      </c>
      <c r="B736" s="2" t="str">
        <f>IF($G736="","",IF(AND(LEFT($Q736,8)="Non-aero",ISERROR(MATCH($N736,Lge_NonAero!$B:$B,0))),1,0))</f>
        <v/>
      </c>
      <c r="C736" s="5" t="str">
        <f>IF($G736="","",IF(AND(LEFT($O736,3)="Wom",ISERROR(MATCH($N736,Lge_Women!$B:$B,0))),1,0))</f>
        <v/>
      </c>
      <c r="D736" s="2" t="str">
        <f>IF($G736="","",IF(AND(OR($O736="Vet",$O736="Woman Vet"),ISERROR(MATCH($N736,Lge_Vets!$B:$B,0))),1,0))</f>
        <v/>
      </c>
      <c r="E736" s="2" t="str">
        <f>IF($G736="","",IF(AND(OR($O736="Junior",$O736="Woman Junior",$O736="Youth",$O736="Woman Youth"),ISERROR(MATCH($N736,Lge_Junior!$B:$B,0))),1,0))</f>
        <v/>
      </c>
      <c r="F736" s="2" t="str">
        <f>IF($G736="","",IF(AND(LEFT($O736,3)="You",ISERROR(MATCH($N736,Lge_Youth!$B:$B,0))),1,0))</f>
        <v/>
      </c>
      <c r="G736" s="3"/>
      <c r="H736" s="3"/>
      <c r="I736" s="3"/>
      <c r="J736" s="3"/>
      <c r="K736" s="6"/>
      <c r="L736" s="4"/>
      <c r="M736" s="4"/>
      <c r="N736" s="8"/>
      <c r="O736" s="8"/>
      <c r="P736" s="9"/>
      <c r="Q736" s="8"/>
      <c r="R736" s="8"/>
      <c r="S736" s="9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10"/>
    </row>
    <row r="737" spans="1:39" x14ac:dyDescent="0.2">
      <c r="A737" s="2" t="str">
        <f>IF($G737="","",IF(ISERROR(MATCH($N737,Lge_Scratch!$B:$B,0)),1,0))</f>
        <v/>
      </c>
      <c r="B737" s="2" t="str">
        <f>IF($G737="","",IF(AND(LEFT($Q737,8)="Non-aero",ISERROR(MATCH($N737,Lge_NonAero!$B:$B,0))),1,0))</f>
        <v/>
      </c>
      <c r="C737" s="5" t="str">
        <f>IF($G737="","",IF(AND(LEFT($O737,3)="Wom",ISERROR(MATCH($N737,Lge_Women!$B:$B,0))),1,0))</f>
        <v/>
      </c>
      <c r="D737" s="2" t="str">
        <f>IF($G737="","",IF(AND(OR($O737="Vet",$O737="Woman Vet"),ISERROR(MATCH($N737,Lge_Vets!$B:$B,0))),1,0))</f>
        <v/>
      </c>
      <c r="E737" s="2" t="str">
        <f>IF($G737="","",IF(AND(OR($O737="Junior",$O737="Woman Junior",$O737="Youth",$O737="Woman Youth"),ISERROR(MATCH($N737,Lge_Junior!$B:$B,0))),1,0))</f>
        <v/>
      </c>
      <c r="F737" s="2" t="str">
        <f>IF($G737="","",IF(AND(LEFT($O737,3)="You",ISERROR(MATCH($N737,Lge_Youth!$B:$B,0))),1,0))</f>
        <v/>
      </c>
      <c r="G737" s="3"/>
      <c r="H737" s="3"/>
      <c r="I737" s="3"/>
      <c r="J737" s="3"/>
      <c r="K737" s="6"/>
      <c r="L737" s="4"/>
      <c r="M737" s="4"/>
      <c r="N737" s="8"/>
      <c r="O737" s="8"/>
      <c r="P737" s="9"/>
      <c r="Q737" s="8"/>
      <c r="R737" s="8"/>
      <c r="S737" s="9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10"/>
    </row>
    <row r="738" spans="1:39" x14ac:dyDescent="0.2">
      <c r="A738" s="2" t="str">
        <f>IF($G738="","",IF(ISERROR(MATCH($N738,Lge_Scratch!$B:$B,0)),1,0))</f>
        <v/>
      </c>
      <c r="B738" s="2" t="str">
        <f>IF($G738="","",IF(AND(LEFT($Q738,8)="Non-aero",ISERROR(MATCH($N738,Lge_NonAero!$B:$B,0))),1,0))</f>
        <v/>
      </c>
      <c r="C738" s="5" t="str">
        <f>IF($G738="","",IF(AND(LEFT($O738,3)="Wom",ISERROR(MATCH($N738,Lge_Women!$B:$B,0))),1,0))</f>
        <v/>
      </c>
      <c r="D738" s="2" t="str">
        <f>IF($G738="","",IF(AND(OR($O738="Vet",$O738="Woman Vet"),ISERROR(MATCH($N738,Lge_Vets!$B:$B,0))),1,0))</f>
        <v/>
      </c>
      <c r="E738" s="2" t="str">
        <f>IF($G738="","",IF(AND(OR($O738="Junior",$O738="Woman Junior",$O738="Youth",$O738="Woman Youth"),ISERROR(MATCH($N738,Lge_Junior!$B:$B,0))),1,0))</f>
        <v/>
      </c>
      <c r="F738" s="2" t="str">
        <f>IF($G738="","",IF(AND(LEFT($O738,3)="You",ISERROR(MATCH($N738,Lge_Youth!$B:$B,0))),1,0))</f>
        <v/>
      </c>
      <c r="G738" s="3"/>
      <c r="H738" s="3"/>
      <c r="I738" s="3"/>
      <c r="J738" s="3"/>
      <c r="K738" s="6"/>
      <c r="L738" s="4"/>
      <c r="M738" s="4"/>
      <c r="N738" s="8"/>
      <c r="O738" s="8"/>
      <c r="P738" s="9"/>
      <c r="Q738" s="8"/>
      <c r="R738" s="8"/>
      <c r="S738" s="9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10"/>
    </row>
    <row r="739" spans="1:39" x14ac:dyDescent="0.2">
      <c r="A739" s="2" t="str">
        <f>IF($G739="","",IF(ISERROR(MATCH($N739,Lge_Scratch!$B:$B,0)),1,0))</f>
        <v/>
      </c>
      <c r="B739" s="2" t="str">
        <f>IF($G739="","",IF(AND(LEFT($Q739,8)="Non-aero",ISERROR(MATCH($N739,Lge_NonAero!$B:$B,0))),1,0))</f>
        <v/>
      </c>
      <c r="C739" s="5" t="str">
        <f>IF($G739="","",IF(AND(LEFT($O739,3)="Wom",ISERROR(MATCH($N739,Lge_Women!$B:$B,0))),1,0))</f>
        <v/>
      </c>
      <c r="D739" s="2" t="str">
        <f>IF($G739="","",IF(AND(OR($O739="Vet",$O739="Woman Vet"),ISERROR(MATCH($N739,Lge_Vets!$B:$B,0))),1,0))</f>
        <v/>
      </c>
      <c r="E739" s="2" t="str">
        <f>IF($G739="","",IF(AND(OR($O739="Junior",$O739="Woman Junior",$O739="Youth",$O739="Woman Youth"),ISERROR(MATCH($N739,Lge_Junior!$B:$B,0))),1,0))</f>
        <v/>
      </c>
      <c r="F739" s="2" t="str">
        <f>IF($G739="","",IF(AND(LEFT($O739,3)="You",ISERROR(MATCH($N739,Lge_Youth!$B:$B,0))),1,0))</f>
        <v/>
      </c>
      <c r="G739" s="3"/>
      <c r="H739" s="3"/>
      <c r="I739" s="3"/>
      <c r="J739" s="3"/>
      <c r="K739" s="6"/>
      <c r="L739" s="4"/>
      <c r="M739" s="4"/>
      <c r="N739" s="8"/>
      <c r="O739" s="8"/>
      <c r="P739" s="9"/>
      <c r="Q739" s="8"/>
      <c r="R739" s="8"/>
      <c r="S739" s="9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10"/>
    </row>
    <row r="740" spans="1:39" x14ac:dyDescent="0.2">
      <c r="A740" s="2" t="str">
        <f>IF($G740="","",IF(ISERROR(MATCH($N740,Lge_Scratch!$B:$B,0)),1,0))</f>
        <v/>
      </c>
      <c r="B740" s="2" t="str">
        <f>IF($G740="","",IF(AND(LEFT($Q740,8)="Non-aero",ISERROR(MATCH($N740,Lge_NonAero!$B:$B,0))),1,0))</f>
        <v/>
      </c>
      <c r="C740" s="5" t="str">
        <f>IF($G740="","",IF(AND(LEFT($O740,3)="Wom",ISERROR(MATCH($N740,Lge_Women!$B:$B,0))),1,0))</f>
        <v/>
      </c>
      <c r="D740" s="2" t="str">
        <f>IF($G740="","",IF(AND(OR($O740="Vet",$O740="Woman Vet"),ISERROR(MATCH($N740,Lge_Vets!$B:$B,0))),1,0))</f>
        <v/>
      </c>
      <c r="E740" s="2" t="str">
        <f>IF($G740="","",IF(AND(OR($O740="Junior",$O740="Woman Junior",$O740="Youth",$O740="Woman Youth"),ISERROR(MATCH($N740,Lge_Junior!$B:$B,0))),1,0))</f>
        <v/>
      </c>
      <c r="F740" s="2" t="str">
        <f>IF($G740="","",IF(AND(LEFT($O740,3)="You",ISERROR(MATCH($N740,Lge_Youth!$B:$B,0))),1,0))</f>
        <v/>
      </c>
      <c r="G740" s="3"/>
      <c r="H740" s="3"/>
      <c r="I740" s="3"/>
      <c r="J740" s="3"/>
      <c r="K740" s="6"/>
      <c r="L740" s="4"/>
      <c r="M740" s="4"/>
      <c r="N740" s="8"/>
      <c r="O740" s="8"/>
      <c r="P740" s="9"/>
      <c r="Q740" s="8"/>
      <c r="R740" s="8"/>
      <c r="S740" s="9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10"/>
    </row>
    <row r="741" spans="1:39" x14ac:dyDescent="0.2">
      <c r="A741" s="2" t="str">
        <f>IF($G741="","",IF(ISERROR(MATCH($N741,Lge_Scratch!$B:$B,0)),1,0))</f>
        <v/>
      </c>
      <c r="B741" s="2" t="str">
        <f>IF($G741="","",IF(AND(LEFT($Q741,8)="Non-aero",ISERROR(MATCH($N741,Lge_NonAero!$B:$B,0))),1,0))</f>
        <v/>
      </c>
      <c r="C741" s="5" t="str">
        <f>IF($G741="","",IF(AND(LEFT($O741,3)="Wom",ISERROR(MATCH($N741,Lge_Women!$B:$B,0))),1,0))</f>
        <v/>
      </c>
      <c r="D741" s="2" t="str">
        <f>IF($G741="","",IF(AND(OR($O741="Vet",$O741="Woman Vet"),ISERROR(MATCH($N741,Lge_Vets!$B:$B,0))),1,0))</f>
        <v/>
      </c>
      <c r="E741" s="2" t="str">
        <f>IF($G741="","",IF(AND(OR($O741="Junior",$O741="Woman Junior",$O741="Youth",$O741="Woman Youth"),ISERROR(MATCH($N741,Lge_Junior!$B:$B,0))),1,0))</f>
        <v/>
      </c>
      <c r="F741" s="2" t="str">
        <f>IF($G741="","",IF(AND(LEFT($O741,3)="You",ISERROR(MATCH($N741,Lge_Youth!$B:$B,0))),1,0))</f>
        <v/>
      </c>
      <c r="G741" s="3"/>
      <c r="H741" s="3"/>
      <c r="I741" s="3"/>
      <c r="J741" s="3"/>
      <c r="K741" s="6"/>
      <c r="L741" s="4"/>
      <c r="M741" s="4"/>
      <c r="N741" s="8"/>
      <c r="O741" s="8"/>
      <c r="P741" s="9"/>
      <c r="Q741" s="8"/>
      <c r="R741" s="8"/>
      <c r="S741" s="9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10"/>
    </row>
    <row r="742" spans="1:39" x14ac:dyDescent="0.2">
      <c r="A742" s="2" t="str">
        <f>IF($G742="","",IF(ISERROR(MATCH($N742,Lge_Scratch!$B:$B,0)),1,0))</f>
        <v/>
      </c>
      <c r="B742" s="2" t="str">
        <f>IF($G742="","",IF(AND(LEFT($Q742,8)="Non-aero",ISERROR(MATCH($N742,Lge_NonAero!$B:$B,0))),1,0))</f>
        <v/>
      </c>
      <c r="C742" s="5" t="str">
        <f>IF($G742="","",IF(AND(LEFT($O742,3)="Wom",ISERROR(MATCH($N742,Lge_Women!$B:$B,0))),1,0))</f>
        <v/>
      </c>
      <c r="D742" s="2" t="str">
        <f>IF($G742="","",IF(AND(OR($O742="Vet",$O742="Woman Vet"),ISERROR(MATCH($N742,Lge_Vets!$B:$B,0))),1,0))</f>
        <v/>
      </c>
      <c r="E742" s="2" t="str">
        <f>IF($G742="","",IF(AND(OR($O742="Junior",$O742="Woman Junior",$O742="Youth",$O742="Woman Youth"),ISERROR(MATCH($N742,Lge_Junior!$B:$B,0))),1,0))</f>
        <v/>
      </c>
      <c r="F742" s="2" t="str">
        <f>IF($G742="","",IF(AND(LEFT($O742,3)="You",ISERROR(MATCH($N742,Lge_Youth!$B:$B,0))),1,0))</f>
        <v/>
      </c>
      <c r="G742" s="3"/>
      <c r="H742" s="3"/>
      <c r="I742" s="3"/>
      <c r="J742" s="3"/>
      <c r="K742" s="6"/>
      <c r="L742" s="4"/>
      <c r="M742" s="4"/>
      <c r="N742" s="8"/>
      <c r="O742" s="8"/>
      <c r="P742" s="9"/>
      <c r="Q742" s="8"/>
      <c r="R742" s="8"/>
      <c r="S742" s="9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10"/>
    </row>
    <row r="743" spans="1:39" x14ac:dyDescent="0.2">
      <c r="A743" s="2" t="str">
        <f>IF($G743="","",IF(ISERROR(MATCH($N743,Lge_Scratch!$B:$B,0)),1,0))</f>
        <v/>
      </c>
      <c r="B743" s="2" t="str">
        <f>IF($G743="","",IF(AND(LEFT($Q743,8)="Non-aero",ISERROR(MATCH($N743,Lge_NonAero!$B:$B,0))),1,0))</f>
        <v/>
      </c>
      <c r="C743" s="5" t="str">
        <f>IF($G743="","",IF(AND(LEFT($O743,3)="Wom",ISERROR(MATCH($N743,Lge_Women!$B:$B,0))),1,0))</f>
        <v/>
      </c>
      <c r="D743" s="2" t="str">
        <f>IF($G743="","",IF(AND(OR($O743="Vet",$O743="Woman Vet"),ISERROR(MATCH($N743,Lge_Vets!$B:$B,0))),1,0))</f>
        <v/>
      </c>
      <c r="E743" s="2" t="str">
        <f>IF($G743="","",IF(AND(OR($O743="Junior",$O743="Woman Junior",$O743="Youth",$O743="Woman Youth"),ISERROR(MATCH($N743,Lge_Junior!$B:$B,0))),1,0))</f>
        <v/>
      </c>
      <c r="F743" s="2" t="str">
        <f>IF($G743="","",IF(AND(LEFT($O743,3)="You",ISERROR(MATCH($N743,Lge_Youth!$B:$B,0))),1,0))</f>
        <v/>
      </c>
      <c r="G743" s="3"/>
      <c r="H743" s="3"/>
      <c r="I743" s="3"/>
      <c r="J743" s="3"/>
      <c r="K743" s="6"/>
      <c r="L743" s="4"/>
      <c r="M743" s="4"/>
      <c r="N743" s="8"/>
      <c r="O743" s="8"/>
      <c r="P743" s="9"/>
      <c r="Q743" s="8"/>
      <c r="R743" s="8"/>
      <c r="S743" s="9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10"/>
    </row>
    <row r="744" spans="1:39" x14ac:dyDescent="0.2">
      <c r="A744" s="2" t="str">
        <f>IF($G744="","",IF(ISERROR(MATCH($N744,Lge_Scratch!$B:$B,0)),1,0))</f>
        <v/>
      </c>
      <c r="B744" s="2" t="str">
        <f>IF($G744="","",IF(AND(LEFT($Q744,8)="Non-aero",ISERROR(MATCH($N744,Lge_NonAero!$B:$B,0))),1,0))</f>
        <v/>
      </c>
      <c r="C744" s="5" t="str">
        <f>IF($G744="","",IF(AND(LEFT($O744,3)="Wom",ISERROR(MATCH($N744,Lge_Women!$B:$B,0))),1,0))</f>
        <v/>
      </c>
      <c r="D744" s="2" t="str">
        <f>IF($G744="","",IF(AND(OR($O744="Vet",$O744="Woman Vet"),ISERROR(MATCH($N744,Lge_Vets!$B:$B,0))),1,0))</f>
        <v/>
      </c>
      <c r="E744" s="2" t="str">
        <f>IF($G744="","",IF(AND(OR($O744="Junior",$O744="Woman Junior",$O744="Youth",$O744="Woman Youth"),ISERROR(MATCH($N744,Lge_Junior!$B:$B,0))),1,0))</f>
        <v/>
      </c>
      <c r="F744" s="2" t="str">
        <f>IF($G744="","",IF(AND(LEFT($O744,3)="You",ISERROR(MATCH($N744,Lge_Youth!$B:$B,0))),1,0))</f>
        <v/>
      </c>
      <c r="G744" s="3"/>
      <c r="H744" s="3"/>
      <c r="I744" s="3"/>
      <c r="J744" s="3"/>
      <c r="K744" s="6"/>
      <c r="L744" s="4"/>
      <c r="M744" s="4"/>
      <c r="N744" s="8"/>
      <c r="O744" s="8"/>
      <c r="P744" s="9"/>
      <c r="Q744" s="8"/>
      <c r="R744" s="8"/>
      <c r="S744" s="9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10"/>
    </row>
    <row r="745" spans="1:39" x14ac:dyDescent="0.2">
      <c r="A745" s="2" t="str">
        <f>IF($G745="","",IF(ISERROR(MATCH($N745,Lge_Scratch!$B:$B,0)),1,0))</f>
        <v/>
      </c>
      <c r="B745" s="2" t="str">
        <f>IF($G745="","",IF(AND(LEFT($Q745,8)="Non-aero",ISERROR(MATCH($N745,Lge_NonAero!$B:$B,0))),1,0))</f>
        <v/>
      </c>
      <c r="C745" s="5" t="str">
        <f>IF($G745="","",IF(AND(LEFT($O745,3)="Wom",ISERROR(MATCH($N745,Lge_Women!$B:$B,0))),1,0))</f>
        <v/>
      </c>
      <c r="D745" s="2" t="str">
        <f>IF($G745="","",IF(AND(OR($O745="Vet",$O745="Woman Vet"),ISERROR(MATCH($N745,Lge_Vets!$B:$B,0))),1,0))</f>
        <v/>
      </c>
      <c r="E745" s="2" t="str">
        <f>IF($G745="","",IF(AND(OR($O745="Junior",$O745="Woman Junior",$O745="Youth",$O745="Woman Youth"),ISERROR(MATCH($N745,Lge_Junior!$B:$B,0))),1,0))</f>
        <v/>
      </c>
      <c r="F745" s="2" t="str">
        <f>IF($G745="","",IF(AND(LEFT($O745,3)="You",ISERROR(MATCH($N745,Lge_Youth!$B:$B,0))),1,0))</f>
        <v/>
      </c>
      <c r="G745" s="3"/>
      <c r="H745" s="3"/>
      <c r="I745" s="3"/>
      <c r="J745" s="3"/>
      <c r="K745" s="6"/>
      <c r="L745" s="4"/>
      <c r="M745" s="4"/>
      <c r="N745" s="8"/>
      <c r="O745" s="8"/>
      <c r="P745" s="9"/>
      <c r="Q745" s="8"/>
      <c r="R745" s="8"/>
      <c r="S745" s="9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10"/>
    </row>
    <row r="746" spans="1:39" x14ac:dyDescent="0.2">
      <c r="A746" s="2" t="str">
        <f>IF($G746="","",IF(ISERROR(MATCH($N746,Lge_Scratch!$B:$B,0)),1,0))</f>
        <v/>
      </c>
      <c r="B746" s="2" t="str">
        <f>IF($G746="","",IF(AND(LEFT($Q746,8)="Non-aero",ISERROR(MATCH($N746,Lge_NonAero!$B:$B,0))),1,0))</f>
        <v/>
      </c>
      <c r="C746" s="5" t="str">
        <f>IF($G746="","",IF(AND(LEFT($O746,3)="Wom",ISERROR(MATCH($N746,Lge_Women!$B:$B,0))),1,0))</f>
        <v/>
      </c>
      <c r="D746" s="2" t="str">
        <f>IF($G746="","",IF(AND(OR($O746="Vet",$O746="Woman Vet"),ISERROR(MATCH($N746,Lge_Vets!$B:$B,0))),1,0))</f>
        <v/>
      </c>
      <c r="E746" s="2" t="str">
        <f>IF($G746="","",IF(AND(OR($O746="Junior",$O746="Woman Junior",$O746="Youth",$O746="Woman Youth"),ISERROR(MATCH($N746,Lge_Junior!$B:$B,0))),1,0))</f>
        <v/>
      </c>
      <c r="F746" s="2" t="str">
        <f>IF($G746="","",IF(AND(LEFT($O746,3)="You",ISERROR(MATCH($N746,Lge_Youth!$B:$B,0))),1,0))</f>
        <v/>
      </c>
      <c r="G746" s="3"/>
      <c r="H746" s="3"/>
      <c r="I746" s="3"/>
      <c r="J746" s="3"/>
      <c r="K746" s="6"/>
      <c r="L746" s="4"/>
      <c r="M746" s="4"/>
      <c r="N746" s="8"/>
      <c r="O746" s="8"/>
      <c r="P746" s="9"/>
      <c r="Q746" s="8"/>
      <c r="R746" s="8"/>
      <c r="S746" s="9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10"/>
    </row>
    <row r="747" spans="1:39" x14ac:dyDescent="0.2">
      <c r="A747" s="2" t="str">
        <f>IF($G747="","",IF(ISERROR(MATCH($N747,Lge_Scratch!$B:$B,0)),1,0))</f>
        <v/>
      </c>
      <c r="B747" s="2" t="str">
        <f>IF($G747="","",IF(AND(LEFT($Q747,8)="Non-aero",ISERROR(MATCH($N747,Lge_NonAero!$B:$B,0))),1,0))</f>
        <v/>
      </c>
      <c r="C747" s="5" t="str">
        <f>IF($G747="","",IF(AND(LEFT($O747,3)="Wom",ISERROR(MATCH($N747,Lge_Women!$B:$B,0))),1,0))</f>
        <v/>
      </c>
      <c r="D747" s="2" t="str">
        <f>IF($G747="","",IF(AND(OR($O747="Vet",$O747="Woman Vet"),ISERROR(MATCH($N747,Lge_Vets!$B:$B,0))),1,0))</f>
        <v/>
      </c>
      <c r="E747" s="2" t="str">
        <f>IF($G747="","",IF(AND(OR($O747="Junior",$O747="Woman Junior",$O747="Youth",$O747="Woman Youth"),ISERROR(MATCH($N747,Lge_Junior!$B:$B,0))),1,0))</f>
        <v/>
      </c>
      <c r="F747" s="2" t="str">
        <f>IF($G747="","",IF(AND(LEFT($O747,3)="You",ISERROR(MATCH($N747,Lge_Youth!$B:$B,0))),1,0))</f>
        <v/>
      </c>
      <c r="G747" s="3"/>
      <c r="H747" s="3"/>
      <c r="I747" s="3"/>
      <c r="J747" s="3"/>
      <c r="K747" s="6"/>
      <c r="L747" s="4"/>
      <c r="M747" s="4"/>
      <c r="N747" s="8"/>
      <c r="O747" s="8"/>
      <c r="P747" s="9"/>
      <c r="Q747" s="8"/>
      <c r="R747" s="8"/>
      <c r="S747" s="9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10"/>
    </row>
    <row r="748" spans="1:39" x14ac:dyDescent="0.2">
      <c r="A748" s="2" t="str">
        <f>IF($G748="","",IF(ISERROR(MATCH($N748,Lge_Scratch!$B:$B,0)),1,0))</f>
        <v/>
      </c>
      <c r="B748" s="2" t="str">
        <f>IF($G748="","",IF(AND(LEFT($Q748,8)="Non-aero",ISERROR(MATCH($N748,Lge_NonAero!$B:$B,0))),1,0))</f>
        <v/>
      </c>
      <c r="C748" s="5" t="str">
        <f>IF($G748="","",IF(AND(LEFT($O748,3)="Wom",ISERROR(MATCH($N748,Lge_Women!$B:$B,0))),1,0))</f>
        <v/>
      </c>
      <c r="D748" s="2" t="str">
        <f>IF($G748="","",IF(AND(OR($O748="Vet",$O748="Woman Vet"),ISERROR(MATCH($N748,Lge_Vets!$B:$B,0))),1,0))</f>
        <v/>
      </c>
      <c r="E748" s="2" t="str">
        <f>IF($G748="","",IF(AND(OR($O748="Junior",$O748="Woman Junior",$O748="Youth",$O748="Woman Youth"),ISERROR(MATCH($N748,Lge_Junior!$B:$B,0))),1,0))</f>
        <v/>
      </c>
      <c r="F748" s="2" t="str">
        <f>IF($G748="","",IF(AND(LEFT($O748,3)="You",ISERROR(MATCH($N748,Lge_Youth!$B:$B,0))),1,0))</f>
        <v/>
      </c>
      <c r="G748" s="3"/>
      <c r="H748" s="3"/>
      <c r="I748" s="3"/>
      <c r="J748" s="3"/>
      <c r="K748" s="6"/>
      <c r="L748" s="4"/>
      <c r="M748" s="4"/>
      <c r="N748" s="8"/>
      <c r="O748" s="8"/>
      <c r="P748" s="9"/>
      <c r="Q748" s="8"/>
      <c r="R748" s="8"/>
      <c r="S748" s="9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10"/>
    </row>
    <row r="749" spans="1:39" x14ac:dyDescent="0.2">
      <c r="A749" s="2" t="str">
        <f>IF($G749="","",IF(ISERROR(MATCH($N749,Lge_Scratch!$B:$B,0)),1,0))</f>
        <v/>
      </c>
      <c r="B749" s="2" t="str">
        <f>IF($G749="","",IF(AND(LEFT($Q749,8)="Non-aero",ISERROR(MATCH($N749,Lge_NonAero!$B:$B,0))),1,0))</f>
        <v/>
      </c>
      <c r="C749" s="5" t="str">
        <f>IF($G749="","",IF(AND(LEFT($O749,3)="Wom",ISERROR(MATCH($N749,Lge_Women!$B:$B,0))),1,0))</f>
        <v/>
      </c>
      <c r="D749" s="2" t="str">
        <f>IF($G749="","",IF(AND(OR($O749="Vet",$O749="Woman Vet"),ISERROR(MATCH($N749,Lge_Vets!$B:$B,0))),1,0))</f>
        <v/>
      </c>
      <c r="E749" s="2" t="str">
        <f>IF($G749="","",IF(AND(OR($O749="Junior",$O749="Woman Junior",$O749="Youth",$O749="Woman Youth"),ISERROR(MATCH($N749,Lge_Junior!$B:$B,0))),1,0))</f>
        <v/>
      </c>
      <c r="F749" s="2" t="str">
        <f>IF($G749="","",IF(AND(LEFT($O749,3)="You",ISERROR(MATCH($N749,Lge_Youth!$B:$B,0))),1,0))</f>
        <v/>
      </c>
      <c r="G749" s="3"/>
      <c r="H749" s="3"/>
      <c r="I749" s="3"/>
      <c r="J749" s="3"/>
      <c r="K749" s="6"/>
      <c r="L749" s="4"/>
      <c r="M749" s="4"/>
      <c r="N749" s="8"/>
      <c r="O749" s="8"/>
      <c r="P749" s="9"/>
      <c r="Q749" s="8"/>
      <c r="R749" s="8"/>
      <c r="S749" s="9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10"/>
    </row>
    <row r="750" spans="1:39" x14ac:dyDescent="0.2">
      <c r="A750" s="2" t="str">
        <f>IF($G750="","",IF(ISERROR(MATCH($N750,Lge_Scratch!$B:$B,0)),1,0))</f>
        <v/>
      </c>
      <c r="B750" s="2" t="str">
        <f>IF($G750="","",IF(AND(LEFT($Q750,8)="Non-aero",ISERROR(MATCH($N750,Lge_NonAero!$B:$B,0))),1,0))</f>
        <v/>
      </c>
      <c r="C750" s="5" t="str">
        <f>IF($G750="","",IF(AND(LEFT($O750,3)="Wom",ISERROR(MATCH($N750,Lge_Women!$B:$B,0))),1,0))</f>
        <v/>
      </c>
      <c r="D750" s="2" t="str">
        <f>IF($G750="","",IF(AND(OR($O750="Vet",$O750="Woman Vet"),ISERROR(MATCH($N750,Lge_Vets!$B:$B,0))),1,0))</f>
        <v/>
      </c>
      <c r="E750" s="2" t="str">
        <f>IF($G750="","",IF(AND(OR($O750="Junior",$O750="Woman Junior",$O750="Youth",$O750="Woman Youth"),ISERROR(MATCH($N750,Lge_Junior!$B:$B,0))),1,0))</f>
        <v/>
      </c>
      <c r="F750" s="2" t="str">
        <f>IF($G750="","",IF(AND(LEFT($O750,3)="You",ISERROR(MATCH($N750,Lge_Youth!$B:$B,0))),1,0))</f>
        <v/>
      </c>
      <c r="G750" s="3"/>
      <c r="H750" s="3"/>
      <c r="I750" s="3"/>
      <c r="J750" s="3"/>
      <c r="K750" s="6"/>
      <c r="L750" s="4"/>
      <c r="M750" s="4"/>
      <c r="N750" s="8"/>
      <c r="O750" s="8"/>
      <c r="P750" s="9"/>
      <c r="Q750" s="8"/>
      <c r="R750" s="8"/>
      <c r="S750" s="9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10"/>
    </row>
    <row r="751" spans="1:39" x14ac:dyDescent="0.2">
      <c r="A751" s="2" t="str">
        <f>IF($G751="","",IF(ISERROR(MATCH($N751,Lge_Scratch!$B:$B,0)),1,0))</f>
        <v/>
      </c>
      <c r="B751" s="2" t="str">
        <f>IF($G751="","",IF(AND(LEFT($Q751,8)="Non-aero",ISERROR(MATCH($N751,Lge_NonAero!$B:$B,0))),1,0))</f>
        <v/>
      </c>
      <c r="C751" s="5" t="str">
        <f>IF($G751="","",IF(AND(LEFT($O751,3)="Wom",ISERROR(MATCH($N751,Lge_Women!$B:$B,0))),1,0))</f>
        <v/>
      </c>
      <c r="D751" s="2" t="str">
        <f>IF($G751="","",IF(AND(OR($O751="Vet",$O751="Woman Vet"),ISERROR(MATCH($N751,Lge_Vets!$B:$B,0))),1,0))</f>
        <v/>
      </c>
      <c r="E751" s="2" t="str">
        <f>IF($G751="","",IF(AND(OR($O751="Junior",$O751="Woman Junior",$O751="Youth",$O751="Woman Youth"),ISERROR(MATCH($N751,Lge_Junior!$B:$B,0))),1,0))</f>
        <v/>
      </c>
      <c r="F751" s="2" t="str">
        <f>IF($G751="","",IF(AND(LEFT($O751,3)="You",ISERROR(MATCH($N751,Lge_Youth!$B:$B,0))),1,0))</f>
        <v/>
      </c>
      <c r="G751" s="3"/>
      <c r="H751" s="3"/>
      <c r="I751" s="3"/>
      <c r="J751" s="3"/>
      <c r="K751" s="6"/>
      <c r="L751" s="4"/>
      <c r="M751" s="4"/>
      <c r="N751" s="8"/>
      <c r="O751" s="8"/>
      <c r="P751" s="9"/>
      <c r="Q751" s="8"/>
      <c r="R751" s="8"/>
      <c r="S751" s="9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10"/>
    </row>
    <row r="752" spans="1:39" x14ac:dyDescent="0.2">
      <c r="A752" s="2" t="str">
        <f>IF($G752="","",IF(ISERROR(MATCH($N752,Lge_Scratch!$B:$B,0)),1,0))</f>
        <v/>
      </c>
      <c r="B752" s="2" t="str">
        <f>IF($G752="","",IF(AND(LEFT($Q752,8)="Non-aero",ISERROR(MATCH($N752,Lge_NonAero!$B:$B,0))),1,0))</f>
        <v/>
      </c>
      <c r="C752" s="5" t="str">
        <f>IF($G752="","",IF(AND(LEFT($O752,3)="Wom",ISERROR(MATCH($N752,Lge_Women!$B:$B,0))),1,0))</f>
        <v/>
      </c>
      <c r="D752" s="2" t="str">
        <f>IF($G752="","",IF(AND(OR($O752="Vet",$O752="Woman Vet"),ISERROR(MATCH($N752,Lge_Vets!$B:$B,0))),1,0))</f>
        <v/>
      </c>
      <c r="E752" s="2" t="str">
        <f>IF($G752="","",IF(AND(OR($O752="Junior",$O752="Woman Junior",$O752="Youth",$O752="Woman Youth"),ISERROR(MATCH($N752,Lge_Junior!$B:$B,0))),1,0))</f>
        <v/>
      </c>
      <c r="F752" s="2" t="str">
        <f>IF($G752="","",IF(AND(LEFT($O752,3)="You",ISERROR(MATCH($N752,Lge_Youth!$B:$B,0))),1,0))</f>
        <v/>
      </c>
      <c r="G752" s="3"/>
      <c r="H752" s="3"/>
      <c r="I752" s="3"/>
      <c r="J752" s="3"/>
      <c r="K752" s="6"/>
      <c r="L752" s="4"/>
      <c r="M752" s="4"/>
      <c r="N752" s="8"/>
      <c r="O752" s="8"/>
      <c r="P752" s="9"/>
      <c r="Q752" s="8"/>
      <c r="R752" s="8"/>
      <c r="S752" s="9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10"/>
    </row>
    <row r="753" spans="1:39" x14ac:dyDescent="0.2">
      <c r="A753" s="2" t="str">
        <f>IF($G753="","",IF(ISERROR(MATCH($N753,Lge_Scratch!$B:$B,0)),1,0))</f>
        <v/>
      </c>
      <c r="B753" s="2" t="str">
        <f>IF($G753="","",IF(AND(LEFT($Q753,8)="Non-aero",ISERROR(MATCH($N753,Lge_NonAero!$B:$B,0))),1,0))</f>
        <v/>
      </c>
      <c r="C753" s="5" t="str">
        <f>IF($G753="","",IF(AND(LEFT($O753,3)="Wom",ISERROR(MATCH($N753,Lge_Women!$B:$B,0))),1,0))</f>
        <v/>
      </c>
      <c r="D753" s="2" t="str">
        <f>IF($G753="","",IF(AND(OR($O753="Vet",$O753="Woman Vet"),ISERROR(MATCH($N753,Lge_Vets!$B:$B,0))),1,0))</f>
        <v/>
      </c>
      <c r="E753" s="2" t="str">
        <f>IF($G753="","",IF(AND(OR($O753="Junior",$O753="Woman Junior",$O753="Youth",$O753="Woman Youth"),ISERROR(MATCH($N753,Lge_Junior!$B:$B,0))),1,0))</f>
        <v/>
      </c>
      <c r="F753" s="2" t="str">
        <f>IF($G753="","",IF(AND(LEFT($O753,3)="You",ISERROR(MATCH($N753,Lge_Youth!$B:$B,0))),1,0))</f>
        <v/>
      </c>
      <c r="G753" s="3"/>
      <c r="H753" s="3"/>
      <c r="I753" s="3"/>
      <c r="J753" s="3"/>
      <c r="K753" s="6"/>
      <c r="L753" s="4"/>
      <c r="M753" s="4"/>
      <c r="N753" s="8"/>
      <c r="O753" s="8"/>
      <c r="P753" s="9"/>
      <c r="Q753" s="8"/>
      <c r="R753" s="8"/>
      <c r="S753" s="9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10"/>
    </row>
    <row r="754" spans="1:39" x14ac:dyDescent="0.2">
      <c r="A754" s="2" t="str">
        <f>IF($G754="","",IF(ISERROR(MATCH($N754,Lge_Scratch!$B:$B,0)),1,0))</f>
        <v/>
      </c>
      <c r="B754" s="2" t="str">
        <f>IF($G754="","",IF(AND(LEFT($Q754,8)="Non-aero",ISERROR(MATCH($N754,Lge_NonAero!$B:$B,0))),1,0))</f>
        <v/>
      </c>
      <c r="C754" s="5" t="str">
        <f>IF($G754="","",IF(AND(LEFT($O754,3)="Wom",ISERROR(MATCH($N754,Lge_Women!$B:$B,0))),1,0))</f>
        <v/>
      </c>
      <c r="D754" s="2" t="str">
        <f>IF($G754="","",IF(AND(OR($O754="Vet",$O754="Woman Vet"),ISERROR(MATCH($N754,Lge_Vets!$B:$B,0))),1,0))</f>
        <v/>
      </c>
      <c r="E754" s="2" t="str">
        <f>IF($G754="","",IF(AND(OR($O754="Junior",$O754="Woman Junior",$O754="Youth",$O754="Woman Youth"),ISERROR(MATCH($N754,Lge_Junior!$B:$B,0))),1,0))</f>
        <v/>
      </c>
      <c r="F754" s="2" t="str">
        <f>IF($G754="","",IF(AND(LEFT($O754,3)="You",ISERROR(MATCH($N754,Lge_Youth!$B:$B,0))),1,0))</f>
        <v/>
      </c>
      <c r="G754" s="3"/>
      <c r="H754" s="3"/>
      <c r="I754" s="3"/>
      <c r="J754" s="3"/>
      <c r="K754" s="6"/>
      <c r="L754" s="4"/>
      <c r="M754" s="4"/>
      <c r="N754" s="8"/>
      <c r="O754" s="8"/>
      <c r="P754" s="9"/>
      <c r="Q754" s="8"/>
      <c r="R754" s="8"/>
      <c r="S754" s="9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10"/>
    </row>
    <row r="755" spans="1:39" x14ac:dyDescent="0.2">
      <c r="A755" s="2" t="str">
        <f>IF($G755="","",IF(ISERROR(MATCH($N755,Lge_Scratch!$B:$B,0)),1,0))</f>
        <v/>
      </c>
      <c r="B755" s="2" t="str">
        <f>IF($G755="","",IF(AND(LEFT($Q755,8)="Non-aero",ISERROR(MATCH($N755,Lge_NonAero!$B:$B,0))),1,0))</f>
        <v/>
      </c>
      <c r="C755" s="5" t="str">
        <f>IF($G755="","",IF(AND(LEFT($O755,3)="Wom",ISERROR(MATCH($N755,Lge_Women!$B:$B,0))),1,0))</f>
        <v/>
      </c>
      <c r="D755" s="2" t="str">
        <f>IF($G755="","",IF(AND(OR($O755="Vet",$O755="Woman Vet"),ISERROR(MATCH($N755,Lge_Vets!$B:$B,0))),1,0))</f>
        <v/>
      </c>
      <c r="E755" s="2" t="str">
        <f>IF($G755="","",IF(AND(OR($O755="Junior",$O755="Woman Junior",$O755="Youth",$O755="Woman Youth"),ISERROR(MATCH($N755,Lge_Junior!$B:$B,0))),1,0))</f>
        <v/>
      </c>
      <c r="F755" s="2" t="str">
        <f>IF($G755="","",IF(AND(LEFT($O755,3)="You",ISERROR(MATCH($N755,Lge_Youth!$B:$B,0))),1,0))</f>
        <v/>
      </c>
      <c r="G755" s="3"/>
      <c r="H755" s="3"/>
      <c r="I755" s="3"/>
      <c r="J755" s="3"/>
      <c r="K755" s="6"/>
      <c r="L755" s="4"/>
      <c r="M755" s="4"/>
      <c r="N755" s="8"/>
      <c r="O755" s="8"/>
      <c r="P755" s="9"/>
      <c r="Q755" s="8"/>
      <c r="R755" s="8"/>
      <c r="S755" s="9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10"/>
    </row>
    <row r="756" spans="1:39" x14ac:dyDescent="0.2">
      <c r="A756" s="2" t="str">
        <f>IF($G756="","",IF(ISERROR(MATCH($N756,Lge_Scratch!$B:$B,0)),1,0))</f>
        <v/>
      </c>
      <c r="B756" s="2" t="str">
        <f>IF($G756="","",IF(AND(LEFT($Q756,8)="Non-aero",ISERROR(MATCH($N756,Lge_NonAero!$B:$B,0))),1,0))</f>
        <v/>
      </c>
      <c r="C756" s="5" t="str">
        <f>IF($G756="","",IF(AND(LEFT($O756,3)="Wom",ISERROR(MATCH($N756,Lge_Women!$B:$B,0))),1,0))</f>
        <v/>
      </c>
      <c r="D756" s="2" t="str">
        <f>IF($G756="","",IF(AND(OR($O756="Vet",$O756="Woman Vet"),ISERROR(MATCH($N756,Lge_Vets!$B:$B,0))),1,0))</f>
        <v/>
      </c>
      <c r="E756" s="2" t="str">
        <f>IF($G756="","",IF(AND(OR($O756="Junior",$O756="Woman Junior",$O756="Youth",$O756="Woman Youth"),ISERROR(MATCH($N756,Lge_Junior!$B:$B,0))),1,0))</f>
        <v/>
      </c>
      <c r="F756" s="2" t="str">
        <f>IF($G756="","",IF(AND(LEFT($O756,3)="You",ISERROR(MATCH($N756,Lge_Youth!$B:$B,0))),1,0))</f>
        <v/>
      </c>
      <c r="G756" s="3"/>
      <c r="H756" s="3"/>
      <c r="I756" s="3"/>
      <c r="J756" s="3"/>
      <c r="K756" s="6"/>
      <c r="L756" s="4"/>
      <c r="M756" s="4"/>
      <c r="N756" s="8"/>
      <c r="O756" s="8"/>
      <c r="P756" s="9"/>
      <c r="Q756" s="8"/>
      <c r="R756" s="8"/>
      <c r="S756" s="9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10"/>
    </row>
    <row r="757" spans="1:39" x14ac:dyDescent="0.2">
      <c r="A757" s="2" t="str">
        <f>IF($G757="","",IF(ISERROR(MATCH($N757,Lge_Scratch!$B:$B,0)),1,0))</f>
        <v/>
      </c>
      <c r="B757" s="2" t="str">
        <f>IF($G757="","",IF(AND(LEFT($Q757,8)="Non-aero",ISERROR(MATCH($N757,Lge_NonAero!$B:$B,0))),1,0))</f>
        <v/>
      </c>
      <c r="C757" s="5" t="str">
        <f>IF($G757="","",IF(AND(LEFT($O757,3)="Wom",ISERROR(MATCH($N757,Lge_Women!$B:$B,0))),1,0))</f>
        <v/>
      </c>
      <c r="D757" s="2" t="str">
        <f>IF($G757="","",IF(AND(OR($O757="Vet",$O757="Woman Vet"),ISERROR(MATCH($N757,Lge_Vets!$B:$B,0))),1,0))</f>
        <v/>
      </c>
      <c r="E757" s="2" t="str">
        <f>IF($G757="","",IF(AND(OR($O757="Junior",$O757="Woman Junior",$O757="Youth",$O757="Woman Youth"),ISERROR(MATCH($N757,Lge_Junior!$B:$B,0))),1,0))</f>
        <v/>
      </c>
      <c r="F757" s="2" t="str">
        <f>IF($G757="","",IF(AND(LEFT($O757,3)="You",ISERROR(MATCH($N757,Lge_Youth!$B:$B,0))),1,0))</f>
        <v/>
      </c>
      <c r="G757" s="3"/>
      <c r="H757" s="3"/>
      <c r="I757" s="3"/>
      <c r="J757" s="3"/>
      <c r="K757" s="6"/>
      <c r="L757" s="4"/>
      <c r="M757" s="4"/>
      <c r="N757" s="8"/>
      <c r="O757" s="8"/>
      <c r="P757" s="9"/>
      <c r="Q757" s="8"/>
      <c r="R757" s="8"/>
      <c r="S757" s="9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10"/>
    </row>
    <row r="758" spans="1:39" x14ac:dyDescent="0.2">
      <c r="A758" s="2" t="str">
        <f>IF($G758="","",IF(ISERROR(MATCH($N758,Lge_Scratch!$B:$B,0)),1,0))</f>
        <v/>
      </c>
      <c r="B758" s="2" t="str">
        <f>IF($G758="","",IF(AND(LEFT($Q758,8)="Non-aero",ISERROR(MATCH($N758,Lge_NonAero!$B:$B,0))),1,0))</f>
        <v/>
      </c>
      <c r="C758" s="5" t="str">
        <f>IF($G758="","",IF(AND(LEFT($O758,3)="Wom",ISERROR(MATCH($N758,Lge_Women!$B:$B,0))),1,0))</f>
        <v/>
      </c>
      <c r="D758" s="2" t="str">
        <f>IF($G758="","",IF(AND(OR($O758="Vet",$O758="Woman Vet"),ISERROR(MATCH($N758,Lge_Vets!$B:$B,0))),1,0))</f>
        <v/>
      </c>
      <c r="E758" s="2" t="str">
        <f>IF($G758="","",IF(AND(OR($O758="Junior",$O758="Woman Junior",$O758="Youth",$O758="Woman Youth"),ISERROR(MATCH($N758,Lge_Junior!$B:$B,0))),1,0))</f>
        <v/>
      </c>
      <c r="F758" s="2" t="str">
        <f>IF($G758="","",IF(AND(LEFT($O758,3)="You",ISERROR(MATCH($N758,Lge_Youth!$B:$B,0))),1,0))</f>
        <v/>
      </c>
      <c r="G758" s="3"/>
      <c r="H758" s="3"/>
      <c r="I758" s="3"/>
      <c r="J758" s="3"/>
      <c r="K758" s="6"/>
      <c r="L758" s="4"/>
      <c r="M758" s="4"/>
      <c r="N758" s="8"/>
      <c r="O758" s="8"/>
      <c r="P758" s="9"/>
      <c r="Q758" s="8"/>
      <c r="R758" s="8"/>
      <c r="S758" s="9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10"/>
    </row>
    <row r="759" spans="1:39" x14ac:dyDescent="0.2">
      <c r="A759" s="2" t="str">
        <f>IF($G759="","",IF(ISERROR(MATCH($N759,Lge_Scratch!$B:$B,0)),1,0))</f>
        <v/>
      </c>
      <c r="B759" s="2" t="str">
        <f>IF($G759="","",IF(AND(LEFT($Q759,8)="Non-aero",ISERROR(MATCH($N759,Lge_NonAero!$B:$B,0))),1,0))</f>
        <v/>
      </c>
      <c r="C759" s="5" t="str">
        <f>IF($G759="","",IF(AND(LEFT($O759,3)="Wom",ISERROR(MATCH($N759,Lge_Women!$B:$B,0))),1,0))</f>
        <v/>
      </c>
      <c r="D759" s="2" t="str">
        <f>IF($G759="","",IF(AND(OR($O759="Vet",$O759="Woman Vet"),ISERROR(MATCH($N759,Lge_Vets!$B:$B,0))),1,0))</f>
        <v/>
      </c>
      <c r="E759" s="2" t="str">
        <f>IF($G759="","",IF(AND(OR($O759="Junior",$O759="Woman Junior",$O759="Youth",$O759="Woman Youth"),ISERROR(MATCH($N759,Lge_Junior!$B:$B,0))),1,0))</f>
        <v/>
      </c>
      <c r="F759" s="2" t="str">
        <f>IF($G759="","",IF(AND(LEFT($O759,3)="You",ISERROR(MATCH($N759,Lge_Youth!$B:$B,0))),1,0))</f>
        <v/>
      </c>
      <c r="G759" s="3"/>
      <c r="H759" s="3"/>
      <c r="I759" s="3"/>
      <c r="J759" s="3"/>
      <c r="K759" s="6"/>
      <c r="L759" s="4"/>
      <c r="M759" s="4"/>
      <c r="N759" s="8"/>
      <c r="O759" s="8"/>
      <c r="P759" s="9"/>
      <c r="Q759" s="8"/>
      <c r="R759" s="8"/>
      <c r="S759" s="9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10"/>
    </row>
    <row r="760" spans="1:39" x14ac:dyDescent="0.2">
      <c r="A760" s="2" t="str">
        <f>IF($G760="","",IF(ISERROR(MATCH($N760,Lge_Scratch!$B:$B,0)),1,0))</f>
        <v/>
      </c>
      <c r="B760" s="2" t="str">
        <f>IF($G760="","",IF(AND(LEFT($Q760,8)="Non-aero",ISERROR(MATCH($N760,Lge_NonAero!$B:$B,0))),1,0))</f>
        <v/>
      </c>
      <c r="C760" s="5" t="str">
        <f>IF($G760="","",IF(AND(LEFT($O760,3)="Wom",ISERROR(MATCH($N760,Lge_Women!$B:$B,0))),1,0))</f>
        <v/>
      </c>
      <c r="D760" s="2" t="str">
        <f>IF($G760="","",IF(AND(OR($O760="Vet",$O760="Woman Vet"),ISERROR(MATCH($N760,Lge_Vets!$B:$B,0))),1,0))</f>
        <v/>
      </c>
      <c r="E760" s="2" t="str">
        <f>IF($G760="","",IF(AND(OR($O760="Junior",$O760="Woman Junior",$O760="Youth",$O760="Woman Youth"),ISERROR(MATCH($N760,Lge_Junior!$B:$B,0))),1,0))</f>
        <v/>
      </c>
      <c r="F760" s="2" t="str">
        <f>IF($G760="","",IF(AND(LEFT($O760,3)="You",ISERROR(MATCH($N760,Lge_Youth!$B:$B,0))),1,0))</f>
        <v/>
      </c>
      <c r="G760" s="3"/>
      <c r="H760" s="3"/>
      <c r="I760" s="3"/>
      <c r="J760" s="3"/>
      <c r="K760" s="6"/>
      <c r="L760" s="4"/>
      <c r="M760" s="4"/>
      <c r="N760" s="8"/>
      <c r="O760" s="8"/>
      <c r="P760" s="9"/>
      <c r="Q760" s="8"/>
      <c r="R760" s="8"/>
      <c r="S760" s="9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10"/>
    </row>
    <row r="761" spans="1:39" x14ac:dyDescent="0.2">
      <c r="A761" s="2" t="str">
        <f>IF($G761="","",IF(ISERROR(MATCH($N761,Lge_Scratch!$B:$B,0)),1,0))</f>
        <v/>
      </c>
      <c r="B761" s="2" t="str">
        <f>IF($G761="","",IF(AND(LEFT($Q761,8)="Non-aero",ISERROR(MATCH($N761,Lge_NonAero!$B:$B,0))),1,0))</f>
        <v/>
      </c>
      <c r="C761" s="5" t="str">
        <f>IF($G761="","",IF(AND(LEFT($O761,3)="Wom",ISERROR(MATCH($N761,Lge_Women!$B:$B,0))),1,0))</f>
        <v/>
      </c>
      <c r="D761" s="2" t="str">
        <f>IF($G761="","",IF(AND(OR($O761="Vet",$O761="Woman Vet"),ISERROR(MATCH($N761,Lge_Vets!$B:$B,0))),1,0))</f>
        <v/>
      </c>
      <c r="E761" s="2" t="str">
        <f>IF($G761="","",IF(AND(OR($O761="Junior",$O761="Woman Junior",$O761="Youth",$O761="Woman Youth"),ISERROR(MATCH($N761,Lge_Junior!$B:$B,0))),1,0))</f>
        <v/>
      </c>
      <c r="F761" s="2" t="str">
        <f>IF($G761="","",IF(AND(LEFT($O761,3)="You",ISERROR(MATCH($N761,Lge_Youth!$B:$B,0))),1,0))</f>
        <v/>
      </c>
      <c r="G761" s="3"/>
      <c r="H761" s="3"/>
      <c r="I761" s="3"/>
      <c r="J761" s="3"/>
      <c r="K761" s="6"/>
      <c r="L761" s="4"/>
      <c r="M761" s="4"/>
      <c r="N761" s="8"/>
      <c r="O761" s="8"/>
      <c r="P761" s="9"/>
      <c r="Q761" s="8"/>
      <c r="R761" s="8"/>
      <c r="S761" s="9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10"/>
    </row>
    <row r="762" spans="1:39" x14ac:dyDescent="0.2">
      <c r="A762" s="2" t="str">
        <f>IF($G762="","",IF(ISERROR(MATCH($N762,Lge_Scratch!$B:$B,0)),1,0))</f>
        <v/>
      </c>
      <c r="B762" s="2" t="str">
        <f>IF($G762="","",IF(AND(LEFT($Q762,8)="Non-aero",ISERROR(MATCH($N762,Lge_NonAero!$B:$B,0))),1,0))</f>
        <v/>
      </c>
      <c r="C762" s="5" t="str">
        <f>IF($G762="","",IF(AND(LEFT($O762,3)="Wom",ISERROR(MATCH($N762,Lge_Women!$B:$B,0))),1,0))</f>
        <v/>
      </c>
      <c r="D762" s="2" t="str">
        <f>IF($G762="","",IF(AND(OR($O762="Vet",$O762="Woman Vet"),ISERROR(MATCH($N762,Lge_Vets!$B:$B,0))),1,0))</f>
        <v/>
      </c>
      <c r="E762" s="2" t="str">
        <f>IF($G762="","",IF(AND(OR($O762="Junior",$O762="Woman Junior",$O762="Youth",$O762="Woman Youth"),ISERROR(MATCH($N762,Lge_Junior!$B:$B,0))),1,0))</f>
        <v/>
      </c>
      <c r="F762" s="2" t="str">
        <f>IF($G762="","",IF(AND(LEFT($O762,3)="You",ISERROR(MATCH($N762,Lge_Youth!$B:$B,0))),1,0))</f>
        <v/>
      </c>
      <c r="G762" s="3"/>
      <c r="H762" s="3"/>
      <c r="I762" s="3"/>
      <c r="J762" s="3"/>
      <c r="K762" s="6"/>
      <c r="L762" s="4"/>
      <c r="M762" s="4"/>
      <c r="N762" s="8"/>
      <c r="O762" s="8"/>
      <c r="P762" s="9"/>
      <c r="Q762" s="8"/>
      <c r="R762" s="8"/>
      <c r="S762" s="9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10"/>
    </row>
    <row r="763" spans="1:39" x14ac:dyDescent="0.2">
      <c r="A763" s="2" t="str">
        <f>IF($G763="","",IF(ISERROR(MATCH($N763,Lge_Scratch!$B:$B,0)),1,0))</f>
        <v/>
      </c>
      <c r="B763" s="2" t="str">
        <f>IF($G763="","",IF(AND(LEFT($Q763,8)="Non-aero",ISERROR(MATCH($N763,Lge_NonAero!$B:$B,0))),1,0))</f>
        <v/>
      </c>
      <c r="C763" s="5" t="str">
        <f>IF($G763="","",IF(AND(LEFT($O763,3)="Wom",ISERROR(MATCH($N763,Lge_Women!$B:$B,0))),1,0))</f>
        <v/>
      </c>
      <c r="D763" s="2" t="str">
        <f>IF($G763="","",IF(AND(OR($O763="Vet",$O763="Woman Vet"),ISERROR(MATCH($N763,Lge_Vets!$B:$B,0))),1,0))</f>
        <v/>
      </c>
      <c r="E763" s="2" t="str">
        <f>IF($G763="","",IF(AND(OR($O763="Junior",$O763="Woman Junior",$O763="Youth",$O763="Woman Youth"),ISERROR(MATCH($N763,Lge_Junior!$B:$B,0))),1,0))</f>
        <v/>
      </c>
      <c r="F763" s="2" t="str">
        <f>IF($G763="","",IF(AND(LEFT($O763,3)="You",ISERROR(MATCH($N763,Lge_Youth!$B:$B,0))),1,0))</f>
        <v/>
      </c>
      <c r="G763" s="3"/>
      <c r="H763" s="3"/>
      <c r="I763" s="3"/>
      <c r="J763" s="3"/>
      <c r="K763" s="6"/>
      <c r="L763" s="4"/>
      <c r="M763" s="4"/>
      <c r="N763" s="8"/>
      <c r="O763" s="8"/>
      <c r="P763" s="9"/>
      <c r="Q763" s="8"/>
      <c r="R763" s="8"/>
      <c r="S763" s="9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10"/>
    </row>
    <row r="764" spans="1:39" x14ac:dyDescent="0.2">
      <c r="A764" s="2" t="str">
        <f>IF($G764="","",IF(ISERROR(MATCH($N764,Lge_Scratch!$B:$B,0)),1,0))</f>
        <v/>
      </c>
      <c r="B764" s="2" t="str">
        <f>IF($G764="","",IF(AND(LEFT($Q764,8)="Non-aero",ISERROR(MATCH($N764,Lge_NonAero!$B:$B,0))),1,0))</f>
        <v/>
      </c>
      <c r="C764" s="5" t="str">
        <f>IF($G764="","",IF(AND(LEFT($O764,3)="Wom",ISERROR(MATCH($N764,Lge_Women!$B:$B,0))),1,0))</f>
        <v/>
      </c>
      <c r="D764" s="2" t="str">
        <f>IF($G764="","",IF(AND(OR($O764="Vet",$O764="Woman Vet"),ISERROR(MATCH($N764,Lge_Vets!$B:$B,0))),1,0))</f>
        <v/>
      </c>
      <c r="E764" s="2" t="str">
        <f>IF($G764="","",IF(AND(OR($O764="Junior",$O764="Woman Junior",$O764="Youth",$O764="Woman Youth"),ISERROR(MATCH($N764,Lge_Junior!$B:$B,0))),1,0))</f>
        <v/>
      </c>
      <c r="F764" s="2" t="str">
        <f>IF($G764="","",IF(AND(LEFT($O764,3)="You",ISERROR(MATCH($N764,Lge_Youth!$B:$B,0))),1,0))</f>
        <v/>
      </c>
      <c r="G764" s="3"/>
      <c r="H764" s="3"/>
      <c r="I764" s="3"/>
      <c r="J764" s="3"/>
      <c r="K764" s="6"/>
      <c r="L764" s="4"/>
      <c r="M764" s="4"/>
      <c r="N764" s="8"/>
      <c r="O764" s="8"/>
      <c r="P764" s="9"/>
      <c r="Q764" s="8"/>
      <c r="R764" s="8"/>
      <c r="S764" s="9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10"/>
    </row>
    <row r="765" spans="1:39" x14ac:dyDescent="0.2">
      <c r="A765" s="2" t="str">
        <f>IF($G765="","",IF(ISERROR(MATCH($N765,Lge_Scratch!$B:$B,0)),1,0))</f>
        <v/>
      </c>
      <c r="B765" s="2" t="str">
        <f>IF($G765="","",IF(AND(LEFT($Q765,8)="Non-aero",ISERROR(MATCH($N765,Lge_NonAero!$B:$B,0))),1,0))</f>
        <v/>
      </c>
      <c r="C765" s="5" t="str">
        <f>IF($G765="","",IF(AND(LEFT($O765,3)="Wom",ISERROR(MATCH($N765,Lge_Women!$B:$B,0))),1,0))</f>
        <v/>
      </c>
      <c r="D765" s="2" t="str">
        <f>IF($G765="","",IF(AND(OR($O765="Vet",$O765="Woman Vet"),ISERROR(MATCH($N765,Lge_Vets!$B:$B,0))),1,0))</f>
        <v/>
      </c>
      <c r="E765" s="2" t="str">
        <f>IF($G765="","",IF(AND(OR($O765="Junior",$O765="Woman Junior",$O765="Youth",$O765="Woman Youth"),ISERROR(MATCH($N765,Lge_Junior!$B:$B,0))),1,0))</f>
        <v/>
      </c>
      <c r="F765" s="2" t="str">
        <f>IF($G765="","",IF(AND(LEFT($O765,3)="You",ISERROR(MATCH($N765,Lge_Youth!$B:$B,0))),1,0))</f>
        <v/>
      </c>
      <c r="G765" s="3"/>
      <c r="H765" s="3"/>
      <c r="I765" s="3"/>
      <c r="J765" s="3"/>
      <c r="K765" s="6"/>
      <c r="L765" s="4"/>
      <c r="M765" s="4"/>
      <c r="N765" s="8"/>
      <c r="O765" s="8"/>
      <c r="P765" s="9"/>
      <c r="Q765" s="8"/>
      <c r="R765" s="8"/>
      <c r="S765" s="9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10"/>
    </row>
    <row r="766" spans="1:39" x14ac:dyDescent="0.2">
      <c r="A766" s="2" t="str">
        <f>IF($G766="","",IF(ISERROR(MATCH($N766,Lge_Scratch!$B:$B,0)),1,0))</f>
        <v/>
      </c>
      <c r="B766" s="2" t="str">
        <f>IF($G766="","",IF(AND(LEFT($Q766,8)="Non-aero",ISERROR(MATCH($N766,Lge_NonAero!$B:$B,0))),1,0))</f>
        <v/>
      </c>
      <c r="C766" s="5" t="str">
        <f>IF($G766="","",IF(AND(LEFT($O766,3)="Wom",ISERROR(MATCH($N766,Lge_Women!$B:$B,0))),1,0))</f>
        <v/>
      </c>
      <c r="D766" s="2" t="str">
        <f>IF($G766="","",IF(AND(OR($O766="Vet",$O766="Woman Vet"),ISERROR(MATCH($N766,Lge_Vets!$B:$B,0))),1,0))</f>
        <v/>
      </c>
      <c r="E766" s="2" t="str">
        <f>IF($G766="","",IF(AND(OR($O766="Junior",$O766="Woman Junior",$O766="Youth",$O766="Woman Youth"),ISERROR(MATCH($N766,Lge_Junior!$B:$B,0))),1,0))</f>
        <v/>
      </c>
      <c r="F766" s="2" t="str">
        <f>IF($G766="","",IF(AND(LEFT($O766,3)="You",ISERROR(MATCH($N766,Lge_Youth!$B:$B,0))),1,0))</f>
        <v/>
      </c>
      <c r="G766" s="3"/>
      <c r="H766" s="3"/>
      <c r="I766" s="3"/>
      <c r="J766" s="3"/>
      <c r="K766" s="6"/>
      <c r="L766" s="4"/>
      <c r="M766" s="4"/>
      <c r="N766" s="8"/>
      <c r="O766" s="8"/>
      <c r="P766" s="9"/>
      <c r="Q766" s="8"/>
      <c r="R766" s="8"/>
      <c r="S766" s="9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10"/>
    </row>
    <row r="767" spans="1:39" x14ac:dyDescent="0.2">
      <c r="A767" s="2" t="str">
        <f>IF($G767="","",IF(ISERROR(MATCH($N767,Lge_Scratch!$B:$B,0)),1,0))</f>
        <v/>
      </c>
      <c r="B767" s="2" t="str">
        <f>IF($G767="","",IF(AND(LEFT($Q767,8)="Non-aero",ISERROR(MATCH($N767,Lge_NonAero!$B:$B,0))),1,0))</f>
        <v/>
      </c>
      <c r="C767" s="5" t="str">
        <f>IF($G767="","",IF(AND(LEFT($O767,3)="Wom",ISERROR(MATCH($N767,Lge_Women!$B:$B,0))),1,0))</f>
        <v/>
      </c>
      <c r="D767" s="2" t="str">
        <f>IF($G767="","",IF(AND(OR($O767="Vet",$O767="Woman Vet"),ISERROR(MATCH($N767,Lge_Vets!$B:$B,0))),1,0))</f>
        <v/>
      </c>
      <c r="E767" s="2" t="str">
        <f>IF($G767="","",IF(AND(OR($O767="Junior",$O767="Woman Junior",$O767="Youth",$O767="Woman Youth"),ISERROR(MATCH($N767,Lge_Junior!$B:$B,0))),1,0))</f>
        <v/>
      </c>
      <c r="F767" s="2" t="str">
        <f>IF($G767="","",IF(AND(LEFT($O767,3)="You",ISERROR(MATCH($N767,Lge_Youth!$B:$B,0))),1,0))</f>
        <v/>
      </c>
      <c r="G767" s="3"/>
      <c r="H767" s="3"/>
      <c r="I767" s="3"/>
      <c r="J767" s="3"/>
      <c r="K767" s="6"/>
      <c r="L767" s="4"/>
      <c r="M767" s="4"/>
      <c r="N767" s="8"/>
      <c r="O767" s="8"/>
      <c r="P767" s="9"/>
      <c r="Q767" s="8"/>
      <c r="R767" s="8"/>
      <c r="S767" s="9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10"/>
    </row>
    <row r="768" spans="1:39" x14ac:dyDescent="0.2">
      <c r="A768" s="2" t="str">
        <f>IF($G768="","",IF(ISERROR(MATCH($N768,Lge_Scratch!$B:$B,0)),1,0))</f>
        <v/>
      </c>
      <c r="B768" s="2" t="str">
        <f>IF($G768="","",IF(AND(LEFT($Q768,8)="Non-aero",ISERROR(MATCH($N768,Lge_NonAero!$B:$B,0))),1,0))</f>
        <v/>
      </c>
      <c r="C768" s="5" t="str">
        <f>IF($G768="","",IF(AND(LEFT($O768,3)="Wom",ISERROR(MATCH($N768,Lge_Women!$B:$B,0))),1,0))</f>
        <v/>
      </c>
      <c r="D768" s="2" t="str">
        <f>IF($G768="","",IF(AND(OR($O768="Vet",$O768="Woman Vet"),ISERROR(MATCH($N768,Lge_Vets!$B:$B,0))),1,0))</f>
        <v/>
      </c>
      <c r="E768" s="2" t="str">
        <f>IF($G768="","",IF(AND(OR($O768="Junior",$O768="Woman Junior",$O768="Youth",$O768="Woman Youth"),ISERROR(MATCH($N768,Lge_Junior!$B:$B,0))),1,0))</f>
        <v/>
      </c>
      <c r="F768" s="2" t="str">
        <f>IF($G768="","",IF(AND(LEFT($O768,3)="You",ISERROR(MATCH($N768,Lge_Youth!$B:$B,0))),1,0))</f>
        <v/>
      </c>
      <c r="G768" s="3"/>
      <c r="H768" s="3"/>
      <c r="I768" s="3"/>
      <c r="J768" s="3"/>
      <c r="K768" s="6"/>
      <c r="L768" s="4"/>
      <c r="M768" s="4"/>
      <c r="N768" s="8"/>
      <c r="O768" s="8"/>
      <c r="P768" s="9"/>
      <c r="Q768" s="8"/>
      <c r="R768" s="8"/>
      <c r="S768" s="9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10"/>
    </row>
    <row r="769" spans="1:39" x14ac:dyDescent="0.2">
      <c r="A769" s="2" t="str">
        <f>IF($G769="","",IF(ISERROR(MATCH($N769,Lge_Scratch!$B:$B,0)),1,0))</f>
        <v/>
      </c>
      <c r="B769" s="2" t="str">
        <f>IF($G769="","",IF(AND(LEFT($Q769,8)="Non-aero",ISERROR(MATCH($N769,Lge_NonAero!$B:$B,0))),1,0))</f>
        <v/>
      </c>
      <c r="C769" s="5" t="str">
        <f>IF($G769="","",IF(AND(LEFT($O769,3)="Wom",ISERROR(MATCH($N769,Lge_Women!$B:$B,0))),1,0))</f>
        <v/>
      </c>
      <c r="D769" s="2" t="str">
        <f>IF($G769="","",IF(AND(OR($O769="Vet",$O769="Woman Vet"),ISERROR(MATCH($N769,Lge_Vets!$B:$B,0))),1,0))</f>
        <v/>
      </c>
      <c r="E769" s="2" t="str">
        <f>IF($G769="","",IF(AND(OR($O769="Junior",$O769="Woman Junior",$O769="Youth",$O769="Woman Youth"),ISERROR(MATCH($N769,Lge_Junior!$B:$B,0))),1,0))</f>
        <v/>
      </c>
      <c r="F769" s="2" t="str">
        <f>IF($G769="","",IF(AND(LEFT($O769,3)="You",ISERROR(MATCH($N769,Lge_Youth!$B:$B,0))),1,0))</f>
        <v/>
      </c>
      <c r="G769" s="3"/>
      <c r="H769" s="3"/>
      <c r="I769" s="3"/>
      <c r="J769" s="3"/>
      <c r="K769" s="6"/>
      <c r="L769" s="4"/>
      <c r="M769" s="4"/>
      <c r="N769" s="8"/>
      <c r="O769" s="8"/>
      <c r="P769" s="9"/>
      <c r="Q769" s="8"/>
      <c r="R769" s="8"/>
      <c r="S769" s="9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10"/>
    </row>
    <row r="770" spans="1:39" x14ac:dyDescent="0.2">
      <c r="A770" s="2" t="str">
        <f>IF($G770="","",IF(ISERROR(MATCH($N770,Lge_Scratch!$B:$B,0)),1,0))</f>
        <v/>
      </c>
      <c r="B770" s="2" t="str">
        <f>IF($G770="","",IF(AND(LEFT($Q770,8)="Non-aero",ISERROR(MATCH($N770,Lge_NonAero!$B:$B,0))),1,0))</f>
        <v/>
      </c>
      <c r="C770" s="5" t="str">
        <f>IF($G770="","",IF(AND(LEFT($O770,3)="Wom",ISERROR(MATCH($N770,Lge_Women!$B:$B,0))),1,0))</f>
        <v/>
      </c>
      <c r="D770" s="2" t="str">
        <f>IF($G770="","",IF(AND(OR($O770="Vet",$O770="Woman Vet"),ISERROR(MATCH($N770,Lge_Vets!$B:$B,0))),1,0))</f>
        <v/>
      </c>
      <c r="E770" s="2" t="str">
        <f>IF($G770="","",IF(AND(OR($O770="Junior",$O770="Woman Junior",$O770="Youth",$O770="Woman Youth"),ISERROR(MATCH($N770,Lge_Junior!$B:$B,0))),1,0))</f>
        <v/>
      </c>
      <c r="F770" s="2" t="str">
        <f>IF($G770="","",IF(AND(LEFT($O770,3)="You",ISERROR(MATCH($N770,Lge_Youth!$B:$B,0))),1,0))</f>
        <v/>
      </c>
      <c r="G770" s="3"/>
      <c r="H770" s="3"/>
      <c r="I770" s="3"/>
      <c r="J770" s="3"/>
      <c r="K770" s="6"/>
      <c r="L770" s="4"/>
      <c r="M770" s="4"/>
      <c r="N770" s="8"/>
      <c r="O770" s="8"/>
      <c r="P770" s="9"/>
      <c r="Q770" s="8"/>
      <c r="R770" s="8"/>
      <c r="S770" s="9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10"/>
    </row>
    <row r="771" spans="1:39" x14ac:dyDescent="0.2">
      <c r="A771" s="2" t="str">
        <f>IF($G771="","",IF(ISERROR(MATCH($N771,Lge_Scratch!$B:$B,0)),1,0))</f>
        <v/>
      </c>
      <c r="B771" s="2" t="str">
        <f>IF($G771="","",IF(AND(LEFT($Q771,8)="Non-aero",ISERROR(MATCH($N771,Lge_NonAero!$B:$B,0))),1,0))</f>
        <v/>
      </c>
      <c r="C771" s="5" t="str">
        <f>IF($G771="","",IF(AND(LEFT($O771,3)="Wom",ISERROR(MATCH($N771,Lge_Women!$B:$B,0))),1,0))</f>
        <v/>
      </c>
      <c r="D771" s="2" t="str">
        <f>IF($G771="","",IF(AND(OR($O771="Vet",$O771="Woman Vet"),ISERROR(MATCH($N771,Lge_Vets!$B:$B,0))),1,0))</f>
        <v/>
      </c>
      <c r="E771" s="2" t="str">
        <f>IF($G771="","",IF(AND(OR($O771="Junior",$O771="Woman Junior",$O771="Youth",$O771="Woman Youth"),ISERROR(MATCH($N771,Lge_Junior!$B:$B,0))),1,0))</f>
        <v/>
      </c>
      <c r="F771" s="2" t="str">
        <f>IF($G771="","",IF(AND(LEFT($O771,3)="You",ISERROR(MATCH($N771,Lge_Youth!$B:$B,0))),1,0))</f>
        <v/>
      </c>
      <c r="G771" s="3"/>
      <c r="H771" s="3"/>
      <c r="I771" s="3"/>
      <c r="J771" s="3"/>
      <c r="K771" s="6"/>
      <c r="L771" s="4"/>
      <c r="M771" s="4"/>
      <c r="N771" s="8"/>
      <c r="O771" s="8"/>
      <c r="P771" s="9"/>
      <c r="Q771" s="8"/>
      <c r="R771" s="8"/>
      <c r="S771" s="9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10"/>
    </row>
    <row r="772" spans="1:39" x14ac:dyDescent="0.2">
      <c r="A772" s="2" t="str">
        <f>IF($G772="","",IF(ISERROR(MATCH($N772,Lge_Scratch!$B:$B,0)),1,0))</f>
        <v/>
      </c>
      <c r="B772" s="2" t="str">
        <f>IF($G772="","",IF(AND(LEFT($Q772,8)="Non-aero",ISERROR(MATCH($N772,Lge_NonAero!$B:$B,0))),1,0))</f>
        <v/>
      </c>
      <c r="C772" s="5" t="str">
        <f>IF($G772="","",IF(AND(LEFT($O772,3)="Wom",ISERROR(MATCH($N772,Lge_Women!$B:$B,0))),1,0))</f>
        <v/>
      </c>
      <c r="D772" s="2" t="str">
        <f>IF($G772="","",IF(AND(OR($O772="Vet",$O772="Woman Vet"),ISERROR(MATCH($N772,Lge_Vets!$B:$B,0))),1,0))</f>
        <v/>
      </c>
      <c r="E772" s="2" t="str">
        <f>IF($G772="","",IF(AND(OR($O772="Junior",$O772="Woman Junior",$O772="Youth",$O772="Woman Youth"),ISERROR(MATCH($N772,Lge_Junior!$B:$B,0))),1,0))</f>
        <v/>
      </c>
      <c r="F772" s="2" t="str">
        <f>IF($G772="","",IF(AND(LEFT($O772,3)="You",ISERROR(MATCH($N772,Lge_Youth!$B:$B,0))),1,0))</f>
        <v/>
      </c>
      <c r="G772" s="3"/>
      <c r="H772" s="3"/>
      <c r="I772" s="3"/>
      <c r="J772" s="3"/>
      <c r="K772" s="6"/>
      <c r="L772" s="4"/>
      <c r="M772" s="4"/>
      <c r="N772" s="8"/>
      <c r="O772" s="8"/>
      <c r="P772" s="9"/>
      <c r="Q772" s="8"/>
      <c r="R772" s="8"/>
      <c r="S772" s="9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10"/>
    </row>
    <row r="773" spans="1:39" x14ac:dyDescent="0.2">
      <c r="A773" s="2" t="str">
        <f>IF($G773="","",IF(ISERROR(MATCH($N773,Lge_Scratch!$B:$B,0)),1,0))</f>
        <v/>
      </c>
      <c r="B773" s="2" t="str">
        <f>IF($G773="","",IF(AND(LEFT($Q773,8)="Non-aero",ISERROR(MATCH($N773,Lge_NonAero!$B:$B,0))),1,0))</f>
        <v/>
      </c>
      <c r="C773" s="5" t="str">
        <f>IF($G773="","",IF(AND(LEFT($O773,3)="Wom",ISERROR(MATCH($N773,Lge_Women!$B:$B,0))),1,0))</f>
        <v/>
      </c>
      <c r="D773" s="2" t="str">
        <f>IF($G773="","",IF(AND(OR($O773="Vet",$O773="Woman Vet"),ISERROR(MATCH($N773,Lge_Vets!$B:$B,0))),1,0))</f>
        <v/>
      </c>
      <c r="E773" s="2" t="str">
        <f>IF($G773="","",IF(AND(OR($O773="Junior",$O773="Woman Junior",$O773="Youth",$O773="Woman Youth"),ISERROR(MATCH($N773,Lge_Junior!$B:$B,0))),1,0))</f>
        <v/>
      </c>
      <c r="F773" s="2" t="str">
        <f>IF($G773="","",IF(AND(LEFT($O773,3)="You",ISERROR(MATCH($N773,Lge_Youth!$B:$B,0))),1,0))</f>
        <v/>
      </c>
      <c r="G773" s="3"/>
      <c r="H773" s="3"/>
      <c r="I773" s="3"/>
      <c r="J773" s="3"/>
      <c r="K773" s="6"/>
      <c r="L773" s="4"/>
      <c r="M773" s="4"/>
      <c r="N773" s="8"/>
      <c r="O773" s="8"/>
      <c r="P773" s="9"/>
      <c r="Q773" s="8"/>
      <c r="R773" s="8"/>
      <c r="S773" s="9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10"/>
    </row>
    <row r="774" spans="1:39" x14ac:dyDescent="0.2">
      <c r="A774" s="2" t="str">
        <f>IF($G774="","",IF(ISERROR(MATCH($N774,Lge_Scratch!$B:$B,0)),1,0))</f>
        <v/>
      </c>
      <c r="B774" s="2" t="str">
        <f>IF($G774="","",IF(AND(LEFT($Q774,8)="Non-aero",ISERROR(MATCH($N774,Lge_NonAero!$B:$B,0))),1,0))</f>
        <v/>
      </c>
      <c r="C774" s="5" t="str">
        <f>IF($G774="","",IF(AND(LEFT($O774,3)="Wom",ISERROR(MATCH($N774,Lge_Women!$B:$B,0))),1,0))</f>
        <v/>
      </c>
      <c r="D774" s="2" t="str">
        <f>IF($G774="","",IF(AND(OR($O774="Vet",$O774="Woman Vet"),ISERROR(MATCH($N774,Lge_Vets!$B:$B,0))),1,0))</f>
        <v/>
      </c>
      <c r="E774" s="2" t="str">
        <f>IF($G774="","",IF(AND(OR($O774="Junior",$O774="Woman Junior",$O774="Youth",$O774="Woman Youth"),ISERROR(MATCH($N774,Lge_Junior!$B:$B,0))),1,0))</f>
        <v/>
      </c>
      <c r="F774" s="2" t="str">
        <f>IF($G774="","",IF(AND(LEFT($O774,3)="You",ISERROR(MATCH($N774,Lge_Youth!$B:$B,0))),1,0))</f>
        <v/>
      </c>
      <c r="G774" s="3"/>
      <c r="H774" s="3"/>
      <c r="I774" s="3"/>
      <c r="J774" s="3"/>
      <c r="K774" s="6"/>
      <c r="L774" s="4"/>
      <c r="M774" s="4"/>
      <c r="N774" s="8"/>
      <c r="O774" s="8"/>
      <c r="P774" s="9"/>
      <c r="Q774" s="8"/>
      <c r="R774" s="8"/>
      <c r="S774" s="9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10"/>
    </row>
    <row r="775" spans="1:39" x14ac:dyDescent="0.2">
      <c r="A775" s="2" t="str">
        <f>IF($G775="","",IF(ISERROR(MATCH($N775,Lge_Scratch!$B:$B,0)),1,0))</f>
        <v/>
      </c>
      <c r="B775" s="2" t="str">
        <f>IF($G775="","",IF(AND(LEFT($Q775,8)="Non-aero",ISERROR(MATCH($N775,Lge_NonAero!$B:$B,0))),1,0))</f>
        <v/>
      </c>
      <c r="C775" s="5" t="str">
        <f>IF($G775="","",IF(AND(LEFT($O775,3)="Wom",ISERROR(MATCH($N775,Lge_Women!$B:$B,0))),1,0))</f>
        <v/>
      </c>
      <c r="D775" s="2" t="str">
        <f>IF($G775="","",IF(AND(OR($O775="Vet",$O775="Woman Vet"),ISERROR(MATCH($N775,Lge_Vets!$B:$B,0))),1,0))</f>
        <v/>
      </c>
      <c r="E775" s="2" t="str">
        <f>IF($G775="","",IF(AND(OR($O775="Junior",$O775="Woman Junior",$O775="Youth",$O775="Woman Youth"),ISERROR(MATCH($N775,Lge_Junior!$B:$B,0))),1,0))</f>
        <v/>
      </c>
      <c r="F775" s="2" t="str">
        <f>IF($G775="","",IF(AND(LEFT($O775,3)="You",ISERROR(MATCH($N775,Lge_Youth!$B:$B,0))),1,0))</f>
        <v/>
      </c>
      <c r="G775" s="3"/>
      <c r="H775" s="3"/>
      <c r="I775" s="3"/>
      <c r="J775" s="3"/>
      <c r="K775" s="6"/>
      <c r="L775" s="4"/>
      <c r="M775" s="4"/>
      <c r="N775" s="8"/>
      <c r="O775" s="8"/>
      <c r="P775" s="9"/>
      <c r="Q775" s="8"/>
      <c r="R775" s="8"/>
      <c r="S775" s="9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10"/>
    </row>
    <row r="776" spans="1:39" x14ac:dyDescent="0.2">
      <c r="A776" s="2" t="str">
        <f>IF($G776="","",IF(ISERROR(MATCH($N776,Lge_Scratch!$B:$B,0)),1,0))</f>
        <v/>
      </c>
      <c r="B776" s="2" t="str">
        <f>IF($G776="","",IF(AND(LEFT($Q776,8)="Non-aero",ISERROR(MATCH($N776,Lge_NonAero!$B:$B,0))),1,0))</f>
        <v/>
      </c>
      <c r="C776" s="5" t="str">
        <f>IF($G776="","",IF(AND(LEFT($O776,3)="Wom",ISERROR(MATCH($N776,Lge_Women!$B:$B,0))),1,0))</f>
        <v/>
      </c>
      <c r="D776" s="2" t="str">
        <f>IF($G776="","",IF(AND(OR($O776="Vet",$O776="Woman Vet"),ISERROR(MATCH($N776,Lge_Vets!$B:$B,0))),1,0))</f>
        <v/>
      </c>
      <c r="E776" s="2" t="str">
        <f>IF($G776="","",IF(AND(OR($O776="Junior",$O776="Woman Junior",$O776="Youth",$O776="Woman Youth"),ISERROR(MATCH($N776,Lge_Junior!$B:$B,0))),1,0))</f>
        <v/>
      </c>
      <c r="F776" s="2" t="str">
        <f>IF($G776="","",IF(AND(LEFT($O776,3)="You",ISERROR(MATCH($N776,Lge_Youth!$B:$B,0))),1,0))</f>
        <v/>
      </c>
      <c r="G776" s="3"/>
      <c r="H776" s="3"/>
      <c r="I776" s="3"/>
      <c r="J776" s="3"/>
      <c r="K776" s="6"/>
      <c r="L776" s="4"/>
      <c r="M776" s="4"/>
      <c r="N776" s="8"/>
      <c r="O776" s="8"/>
      <c r="P776" s="9"/>
      <c r="Q776" s="8"/>
      <c r="R776" s="8"/>
      <c r="S776" s="9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10"/>
    </row>
    <row r="777" spans="1:39" x14ac:dyDescent="0.2">
      <c r="A777" s="2" t="str">
        <f>IF($G777="","",IF(ISERROR(MATCH($N777,Lge_Scratch!$B:$B,0)),1,0))</f>
        <v/>
      </c>
      <c r="B777" s="2" t="str">
        <f>IF($G777="","",IF(AND(LEFT($Q777,8)="Non-aero",ISERROR(MATCH($N777,Lge_NonAero!$B:$B,0))),1,0))</f>
        <v/>
      </c>
      <c r="C777" s="5" t="str">
        <f>IF($G777="","",IF(AND(LEFT($O777,3)="Wom",ISERROR(MATCH($N777,Lge_Women!$B:$B,0))),1,0))</f>
        <v/>
      </c>
      <c r="D777" s="2" t="str">
        <f>IF($G777="","",IF(AND(OR($O777="Vet",$O777="Woman Vet"),ISERROR(MATCH($N777,Lge_Vets!$B:$B,0))),1,0))</f>
        <v/>
      </c>
      <c r="E777" s="2" t="str">
        <f>IF($G777="","",IF(AND(OR($O777="Junior",$O777="Woman Junior",$O777="Youth",$O777="Woman Youth"),ISERROR(MATCH($N777,Lge_Junior!$B:$B,0))),1,0))</f>
        <v/>
      </c>
      <c r="F777" s="2" t="str">
        <f>IF($G777="","",IF(AND(LEFT($O777,3)="You",ISERROR(MATCH($N777,Lge_Youth!$B:$B,0))),1,0))</f>
        <v/>
      </c>
      <c r="G777" s="3"/>
      <c r="H777" s="3"/>
      <c r="I777" s="3"/>
      <c r="J777" s="3"/>
      <c r="K777" s="6"/>
      <c r="L777" s="4"/>
      <c r="M777" s="4"/>
      <c r="N777" s="8"/>
      <c r="O777" s="8"/>
      <c r="P777" s="9"/>
      <c r="Q777" s="8"/>
      <c r="R777" s="8"/>
      <c r="S777" s="9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10"/>
    </row>
    <row r="778" spans="1:39" x14ac:dyDescent="0.2">
      <c r="A778" s="2" t="str">
        <f>IF($G778="","",IF(ISERROR(MATCH($N778,Lge_Scratch!$B:$B,0)),1,0))</f>
        <v/>
      </c>
      <c r="B778" s="2" t="str">
        <f>IF($G778="","",IF(AND(LEFT($Q778,8)="Non-aero",ISERROR(MATCH($N778,Lge_NonAero!$B:$B,0))),1,0))</f>
        <v/>
      </c>
      <c r="C778" s="5" t="str">
        <f>IF($G778="","",IF(AND(LEFT($O778,3)="Wom",ISERROR(MATCH($N778,Lge_Women!$B:$B,0))),1,0))</f>
        <v/>
      </c>
      <c r="D778" s="2" t="str">
        <f>IF($G778="","",IF(AND(OR($O778="Vet",$O778="Woman Vet"),ISERROR(MATCH($N778,Lge_Vets!$B:$B,0))),1,0))</f>
        <v/>
      </c>
      <c r="E778" s="2" t="str">
        <f>IF($G778="","",IF(AND(OR($O778="Junior",$O778="Woman Junior",$O778="Youth",$O778="Woman Youth"),ISERROR(MATCH($N778,Lge_Junior!$B:$B,0))),1,0))</f>
        <v/>
      </c>
      <c r="F778" s="2" t="str">
        <f>IF($G778="","",IF(AND(LEFT($O778,3)="You",ISERROR(MATCH($N778,Lge_Youth!$B:$B,0))),1,0))</f>
        <v/>
      </c>
      <c r="G778" s="3"/>
      <c r="H778" s="3"/>
      <c r="I778" s="3"/>
      <c r="J778" s="3"/>
      <c r="K778" s="6"/>
      <c r="L778" s="4"/>
      <c r="M778" s="4"/>
      <c r="N778" s="8"/>
      <c r="O778" s="8"/>
      <c r="P778" s="9"/>
      <c r="Q778" s="8"/>
      <c r="R778" s="8"/>
      <c r="S778" s="9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10"/>
    </row>
    <row r="779" spans="1:39" x14ac:dyDescent="0.2">
      <c r="A779" s="2" t="str">
        <f>IF($G779="","",IF(ISERROR(MATCH($N779,Lge_Scratch!$B:$B,0)),1,0))</f>
        <v/>
      </c>
      <c r="B779" s="2" t="str">
        <f>IF($G779="","",IF(AND(LEFT($Q779,8)="Non-aero",ISERROR(MATCH($N779,Lge_NonAero!$B:$B,0))),1,0))</f>
        <v/>
      </c>
      <c r="C779" s="5" t="str">
        <f>IF($G779="","",IF(AND(LEFT($O779,3)="Wom",ISERROR(MATCH($N779,Lge_Women!$B:$B,0))),1,0))</f>
        <v/>
      </c>
      <c r="D779" s="2" t="str">
        <f>IF($G779="","",IF(AND(OR($O779="Vet",$O779="Woman Vet"),ISERROR(MATCH($N779,Lge_Vets!$B:$B,0))),1,0))</f>
        <v/>
      </c>
      <c r="E779" s="2" t="str">
        <f>IF($G779="","",IF(AND(OR($O779="Junior",$O779="Woman Junior",$O779="Youth",$O779="Woman Youth"),ISERROR(MATCH($N779,Lge_Junior!$B:$B,0))),1,0))</f>
        <v/>
      </c>
      <c r="F779" s="2" t="str">
        <f>IF($G779="","",IF(AND(LEFT($O779,3)="You",ISERROR(MATCH($N779,Lge_Youth!$B:$B,0))),1,0))</f>
        <v/>
      </c>
      <c r="G779" s="3"/>
      <c r="H779" s="3"/>
      <c r="I779" s="3"/>
      <c r="J779" s="3"/>
      <c r="K779" s="6"/>
      <c r="L779" s="4"/>
      <c r="M779" s="4"/>
      <c r="N779" s="8"/>
      <c r="O779" s="8"/>
      <c r="P779" s="9"/>
      <c r="Q779" s="8"/>
      <c r="R779" s="8"/>
      <c r="S779" s="9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10"/>
    </row>
    <row r="780" spans="1:39" x14ac:dyDescent="0.2">
      <c r="A780" s="2" t="str">
        <f>IF($G780="","",IF(ISERROR(MATCH($N780,Lge_Scratch!$B:$B,0)),1,0))</f>
        <v/>
      </c>
      <c r="B780" s="2" t="str">
        <f>IF($G780="","",IF(AND(LEFT($Q780,8)="Non-aero",ISERROR(MATCH($N780,Lge_NonAero!$B:$B,0))),1,0))</f>
        <v/>
      </c>
      <c r="C780" s="5" t="str">
        <f>IF($G780="","",IF(AND(LEFT($O780,3)="Wom",ISERROR(MATCH($N780,Lge_Women!$B:$B,0))),1,0))</f>
        <v/>
      </c>
      <c r="D780" s="2" t="str">
        <f>IF($G780="","",IF(AND(OR($O780="Vet",$O780="Woman Vet"),ISERROR(MATCH($N780,Lge_Vets!$B:$B,0))),1,0))</f>
        <v/>
      </c>
      <c r="E780" s="2" t="str">
        <f>IF($G780="","",IF(AND(OR($O780="Junior",$O780="Woman Junior",$O780="Youth",$O780="Woman Youth"),ISERROR(MATCH($N780,Lge_Junior!$B:$B,0))),1,0))</f>
        <v/>
      </c>
      <c r="F780" s="2" t="str">
        <f>IF($G780="","",IF(AND(LEFT($O780,3)="You",ISERROR(MATCH($N780,Lge_Youth!$B:$B,0))),1,0))</f>
        <v/>
      </c>
      <c r="G780" s="3"/>
      <c r="H780" s="3"/>
      <c r="I780" s="3"/>
      <c r="J780" s="3"/>
      <c r="K780" s="6"/>
      <c r="L780" s="4"/>
      <c r="M780" s="4"/>
      <c r="N780" s="8"/>
      <c r="O780" s="8"/>
      <c r="P780" s="9"/>
      <c r="Q780" s="8"/>
      <c r="R780" s="8"/>
      <c r="S780" s="9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10"/>
    </row>
    <row r="781" spans="1:39" x14ac:dyDescent="0.2">
      <c r="A781" s="2" t="str">
        <f>IF($G781="","",IF(ISERROR(MATCH($N781,Lge_Scratch!$B:$B,0)),1,0))</f>
        <v/>
      </c>
      <c r="B781" s="2" t="str">
        <f>IF($G781="","",IF(AND(LEFT($Q781,8)="Non-aero",ISERROR(MATCH($N781,Lge_NonAero!$B:$B,0))),1,0))</f>
        <v/>
      </c>
      <c r="C781" s="5" t="str">
        <f>IF($G781="","",IF(AND(LEFT($O781,3)="Wom",ISERROR(MATCH($N781,Lge_Women!$B:$B,0))),1,0))</f>
        <v/>
      </c>
      <c r="D781" s="2" t="str">
        <f>IF($G781="","",IF(AND(OR($O781="Vet",$O781="Woman Vet"),ISERROR(MATCH($N781,Lge_Vets!$B:$B,0))),1,0))</f>
        <v/>
      </c>
      <c r="E781" s="2" t="str">
        <f>IF($G781="","",IF(AND(OR($O781="Junior",$O781="Woman Junior",$O781="Youth",$O781="Woman Youth"),ISERROR(MATCH($N781,Lge_Junior!$B:$B,0))),1,0))</f>
        <v/>
      </c>
      <c r="F781" s="2" t="str">
        <f>IF($G781="","",IF(AND(LEFT($O781,3)="You",ISERROR(MATCH($N781,Lge_Youth!$B:$B,0))),1,0))</f>
        <v/>
      </c>
      <c r="G781" s="3"/>
      <c r="H781" s="3"/>
      <c r="I781" s="3"/>
      <c r="J781" s="3"/>
      <c r="K781" s="6"/>
      <c r="L781" s="4"/>
      <c r="M781" s="4"/>
      <c r="N781" s="8"/>
      <c r="O781" s="8"/>
      <c r="P781" s="9"/>
      <c r="Q781" s="8"/>
      <c r="R781" s="8"/>
      <c r="S781" s="9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10"/>
    </row>
    <row r="782" spans="1:39" x14ac:dyDescent="0.2">
      <c r="A782" s="2" t="str">
        <f>IF($G782="","",IF(ISERROR(MATCH($N782,Lge_Scratch!$B:$B,0)),1,0))</f>
        <v/>
      </c>
      <c r="B782" s="2" t="str">
        <f>IF($G782="","",IF(AND(LEFT($Q782,8)="Non-aero",ISERROR(MATCH($N782,Lge_NonAero!$B:$B,0))),1,0))</f>
        <v/>
      </c>
      <c r="C782" s="5" t="str">
        <f>IF($G782="","",IF(AND(LEFT($O782,3)="Wom",ISERROR(MATCH($N782,Lge_Women!$B:$B,0))),1,0))</f>
        <v/>
      </c>
      <c r="D782" s="2" t="str">
        <f>IF($G782="","",IF(AND(OR($O782="Vet",$O782="Woman Vet"),ISERROR(MATCH($N782,Lge_Vets!$B:$B,0))),1,0))</f>
        <v/>
      </c>
      <c r="E782" s="2" t="str">
        <f>IF($G782="","",IF(AND(OR($O782="Junior",$O782="Woman Junior",$O782="Youth",$O782="Woman Youth"),ISERROR(MATCH($N782,Lge_Junior!$B:$B,0))),1,0))</f>
        <v/>
      </c>
      <c r="F782" s="2" t="str">
        <f>IF($G782="","",IF(AND(LEFT($O782,3)="You",ISERROR(MATCH($N782,Lge_Youth!$B:$B,0))),1,0))</f>
        <v/>
      </c>
      <c r="G782" s="3"/>
      <c r="H782" s="3"/>
      <c r="I782" s="3"/>
      <c r="J782" s="3"/>
      <c r="K782" s="6"/>
      <c r="L782" s="4"/>
      <c r="M782" s="4"/>
      <c r="N782" s="8"/>
      <c r="O782" s="8"/>
      <c r="P782" s="9"/>
      <c r="Q782" s="8"/>
      <c r="R782" s="8"/>
      <c r="S782" s="9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10"/>
    </row>
    <row r="783" spans="1:39" x14ac:dyDescent="0.2">
      <c r="A783" s="2" t="str">
        <f>IF($G783="","",IF(ISERROR(MATCH($N783,Lge_Scratch!$B:$B,0)),1,0))</f>
        <v/>
      </c>
      <c r="B783" s="2" t="str">
        <f>IF($G783="","",IF(AND(LEFT($Q783,8)="Non-aero",ISERROR(MATCH($N783,Lge_NonAero!$B:$B,0))),1,0))</f>
        <v/>
      </c>
      <c r="C783" s="5" t="str">
        <f>IF($G783="","",IF(AND(LEFT($O783,3)="Wom",ISERROR(MATCH($N783,Lge_Women!$B:$B,0))),1,0))</f>
        <v/>
      </c>
      <c r="D783" s="2" t="str">
        <f>IF($G783="","",IF(AND(OR($O783="Vet",$O783="Woman Vet"),ISERROR(MATCH($N783,Lge_Vets!$B:$B,0))),1,0))</f>
        <v/>
      </c>
      <c r="E783" s="2" t="str">
        <f>IF($G783="","",IF(AND(OR($O783="Junior",$O783="Woman Junior",$O783="Youth",$O783="Woman Youth"),ISERROR(MATCH($N783,Lge_Junior!$B:$B,0))),1,0))</f>
        <v/>
      </c>
      <c r="F783" s="2" t="str">
        <f>IF($G783="","",IF(AND(LEFT($O783,3)="You",ISERROR(MATCH($N783,Lge_Youth!$B:$B,0))),1,0))</f>
        <v/>
      </c>
      <c r="G783" s="3"/>
      <c r="H783" s="3"/>
      <c r="I783" s="3"/>
      <c r="J783" s="3"/>
      <c r="K783" s="6"/>
      <c r="L783" s="4"/>
      <c r="M783" s="4"/>
      <c r="N783" s="8"/>
      <c r="O783" s="8"/>
      <c r="P783" s="9"/>
      <c r="Q783" s="8"/>
      <c r="R783" s="8"/>
      <c r="S783" s="9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10"/>
    </row>
    <row r="784" spans="1:39" x14ac:dyDescent="0.2">
      <c r="A784" s="2" t="str">
        <f>IF($G784="","",IF(ISERROR(MATCH($N784,Lge_Scratch!$B:$B,0)),1,0))</f>
        <v/>
      </c>
      <c r="B784" s="2" t="str">
        <f>IF($G784="","",IF(AND(LEFT($Q784,8)="Non-aero",ISERROR(MATCH($N784,Lge_NonAero!$B:$B,0))),1,0))</f>
        <v/>
      </c>
      <c r="C784" s="5" t="str">
        <f>IF($G784="","",IF(AND(LEFT($O784,3)="Wom",ISERROR(MATCH($N784,Lge_Women!$B:$B,0))),1,0))</f>
        <v/>
      </c>
      <c r="D784" s="2" t="str">
        <f>IF($G784="","",IF(AND(OR($O784="Vet",$O784="Woman Vet"),ISERROR(MATCH($N784,Lge_Vets!$B:$B,0))),1,0))</f>
        <v/>
      </c>
      <c r="E784" s="2" t="str">
        <f>IF($G784="","",IF(AND(OR($O784="Junior",$O784="Woman Junior",$O784="Youth",$O784="Woman Youth"),ISERROR(MATCH($N784,Lge_Junior!$B:$B,0))),1,0))</f>
        <v/>
      </c>
      <c r="F784" s="2" t="str">
        <f>IF($G784="","",IF(AND(LEFT($O784,3)="You",ISERROR(MATCH($N784,Lge_Youth!$B:$B,0))),1,0))</f>
        <v/>
      </c>
      <c r="G784" s="3"/>
      <c r="H784" s="3"/>
      <c r="I784" s="3"/>
      <c r="J784" s="3"/>
      <c r="K784" s="6"/>
      <c r="L784" s="4"/>
      <c r="M784" s="4"/>
      <c r="N784" s="8"/>
      <c r="O784" s="8"/>
      <c r="P784" s="9"/>
      <c r="Q784" s="8"/>
      <c r="R784" s="8"/>
      <c r="S784" s="9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10"/>
    </row>
    <row r="785" spans="1:39" x14ac:dyDescent="0.2">
      <c r="A785" s="2" t="str">
        <f>IF($G785="","",IF(ISERROR(MATCH($N785,Lge_Scratch!$B:$B,0)),1,0))</f>
        <v/>
      </c>
      <c r="B785" s="2" t="str">
        <f>IF($G785="","",IF(AND(LEFT($Q785,8)="Non-aero",ISERROR(MATCH($N785,Lge_NonAero!$B:$B,0))),1,0))</f>
        <v/>
      </c>
      <c r="C785" s="5" t="str">
        <f>IF($G785="","",IF(AND(LEFT($O785,3)="Wom",ISERROR(MATCH($N785,Lge_Women!$B:$B,0))),1,0))</f>
        <v/>
      </c>
      <c r="D785" s="2" t="str">
        <f>IF($G785="","",IF(AND(OR($O785="Vet",$O785="Woman Vet"),ISERROR(MATCH($N785,Lge_Vets!$B:$B,0))),1,0))</f>
        <v/>
      </c>
      <c r="E785" s="2" t="str">
        <f>IF($G785="","",IF(AND(OR($O785="Junior",$O785="Woman Junior",$O785="Youth",$O785="Woman Youth"),ISERROR(MATCH($N785,Lge_Junior!$B:$B,0))),1,0))</f>
        <v/>
      </c>
      <c r="F785" s="2" t="str">
        <f>IF($G785="","",IF(AND(LEFT($O785,3)="You",ISERROR(MATCH($N785,Lge_Youth!$B:$B,0))),1,0))</f>
        <v/>
      </c>
      <c r="G785" s="3"/>
      <c r="H785" s="3"/>
      <c r="I785" s="3"/>
      <c r="J785" s="3"/>
      <c r="K785" s="6"/>
      <c r="L785" s="4"/>
      <c r="M785" s="4"/>
      <c r="N785" s="8"/>
      <c r="O785" s="8"/>
      <c r="P785" s="9"/>
      <c r="Q785" s="8"/>
      <c r="R785" s="8"/>
      <c r="S785" s="9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10"/>
    </row>
    <row r="786" spans="1:39" x14ac:dyDescent="0.2">
      <c r="A786" s="2" t="str">
        <f>IF($G786="","",IF(ISERROR(MATCH($N786,Lge_Scratch!$B:$B,0)),1,0))</f>
        <v/>
      </c>
      <c r="B786" s="2" t="str">
        <f>IF($G786="","",IF(AND(LEFT($Q786,8)="Non-aero",ISERROR(MATCH($N786,Lge_NonAero!$B:$B,0))),1,0))</f>
        <v/>
      </c>
      <c r="C786" s="5" t="str">
        <f>IF($G786="","",IF(AND(LEFT($O786,3)="Wom",ISERROR(MATCH($N786,Lge_Women!$B:$B,0))),1,0))</f>
        <v/>
      </c>
      <c r="D786" s="2" t="str">
        <f>IF($G786="","",IF(AND(OR($O786="Vet",$O786="Woman Vet"),ISERROR(MATCH($N786,Lge_Vets!$B:$B,0))),1,0))</f>
        <v/>
      </c>
      <c r="E786" s="2" t="str">
        <f>IF($G786="","",IF(AND(OR($O786="Junior",$O786="Woman Junior",$O786="Youth",$O786="Woman Youth"),ISERROR(MATCH($N786,Lge_Junior!$B:$B,0))),1,0))</f>
        <v/>
      </c>
      <c r="F786" s="2" t="str">
        <f>IF($G786="","",IF(AND(LEFT($O786,3)="You",ISERROR(MATCH($N786,Lge_Youth!$B:$B,0))),1,0))</f>
        <v/>
      </c>
      <c r="G786" s="3"/>
      <c r="H786" s="3"/>
      <c r="I786" s="3"/>
      <c r="J786" s="3"/>
      <c r="K786" s="6"/>
      <c r="L786" s="4"/>
      <c r="M786" s="4"/>
      <c r="N786" s="8"/>
      <c r="O786" s="8"/>
      <c r="P786" s="9"/>
      <c r="Q786" s="8"/>
      <c r="R786" s="8"/>
      <c r="S786" s="9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10"/>
    </row>
    <row r="787" spans="1:39" x14ac:dyDescent="0.2">
      <c r="A787" s="2" t="str">
        <f>IF($G787="","",IF(ISERROR(MATCH($N787,Lge_Scratch!$B:$B,0)),1,0))</f>
        <v/>
      </c>
      <c r="B787" s="2" t="str">
        <f>IF($G787="","",IF(AND(LEFT($Q787,8)="Non-aero",ISERROR(MATCH($N787,Lge_NonAero!$B:$B,0))),1,0))</f>
        <v/>
      </c>
      <c r="C787" s="5" t="str">
        <f>IF($G787="","",IF(AND(LEFT($O787,3)="Wom",ISERROR(MATCH($N787,Lge_Women!$B:$B,0))),1,0))</f>
        <v/>
      </c>
      <c r="D787" s="2" t="str">
        <f>IF($G787="","",IF(AND(OR($O787="Vet",$O787="Woman Vet"),ISERROR(MATCH($N787,Lge_Vets!$B:$B,0))),1,0))</f>
        <v/>
      </c>
      <c r="E787" s="2" t="str">
        <f>IF($G787="","",IF(AND(OR($O787="Junior",$O787="Woman Junior",$O787="Youth",$O787="Woman Youth"),ISERROR(MATCH($N787,Lge_Junior!$B:$B,0))),1,0))</f>
        <v/>
      </c>
      <c r="F787" s="2" t="str">
        <f>IF($G787="","",IF(AND(LEFT($O787,3)="You",ISERROR(MATCH($N787,Lge_Youth!$B:$B,0))),1,0))</f>
        <v/>
      </c>
      <c r="G787" s="3"/>
      <c r="H787" s="3"/>
      <c r="I787" s="3"/>
      <c r="J787" s="3"/>
      <c r="K787" s="6"/>
      <c r="L787" s="4"/>
      <c r="M787" s="4"/>
      <c r="N787" s="8"/>
      <c r="O787" s="8"/>
      <c r="P787" s="9"/>
      <c r="Q787" s="8"/>
      <c r="R787" s="8"/>
      <c r="S787" s="9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10"/>
    </row>
    <row r="788" spans="1:39" x14ac:dyDescent="0.2">
      <c r="A788" s="2" t="str">
        <f>IF($G788="","",IF(ISERROR(MATCH($N788,Lge_Scratch!$B:$B,0)),1,0))</f>
        <v/>
      </c>
      <c r="B788" s="2" t="str">
        <f>IF($G788="","",IF(AND(LEFT($Q788,8)="Non-aero",ISERROR(MATCH($N788,Lge_NonAero!$B:$B,0))),1,0))</f>
        <v/>
      </c>
      <c r="C788" s="5" t="str">
        <f>IF($G788="","",IF(AND(LEFT($O788,3)="Wom",ISERROR(MATCH($N788,Lge_Women!$B:$B,0))),1,0))</f>
        <v/>
      </c>
      <c r="D788" s="2" t="str">
        <f>IF($G788="","",IF(AND(OR($O788="Vet",$O788="Woman Vet"),ISERROR(MATCH($N788,Lge_Vets!$B:$B,0))),1,0))</f>
        <v/>
      </c>
      <c r="E788" s="2" t="str">
        <f>IF($G788="","",IF(AND(OR($O788="Junior",$O788="Woman Junior",$O788="Youth",$O788="Woman Youth"),ISERROR(MATCH($N788,Lge_Junior!$B:$B,0))),1,0))</f>
        <v/>
      </c>
      <c r="F788" s="2" t="str">
        <f>IF($G788="","",IF(AND(LEFT($O788,3)="You",ISERROR(MATCH($N788,Lge_Youth!$B:$B,0))),1,0))</f>
        <v/>
      </c>
      <c r="G788" s="3"/>
      <c r="H788" s="3"/>
      <c r="I788" s="3"/>
      <c r="J788" s="3"/>
      <c r="K788" s="6"/>
      <c r="L788" s="4"/>
      <c r="M788" s="4"/>
      <c r="N788" s="8"/>
      <c r="O788" s="8"/>
      <c r="P788" s="9"/>
      <c r="Q788" s="8"/>
      <c r="R788" s="8"/>
      <c r="S788" s="9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10"/>
    </row>
    <row r="789" spans="1:39" x14ac:dyDescent="0.2">
      <c r="A789" s="2" t="str">
        <f>IF($G789="","",IF(ISERROR(MATCH($N789,Lge_Scratch!$B:$B,0)),1,0))</f>
        <v/>
      </c>
      <c r="B789" s="2" t="str">
        <f>IF($G789="","",IF(AND(LEFT($Q789,8)="Non-aero",ISERROR(MATCH($N789,Lge_NonAero!$B:$B,0))),1,0))</f>
        <v/>
      </c>
      <c r="C789" s="5" t="str">
        <f>IF($G789="","",IF(AND(LEFT($O789,3)="Wom",ISERROR(MATCH($N789,Lge_Women!$B:$B,0))),1,0))</f>
        <v/>
      </c>
      <c r="D789" s="2" t="str">
        <f>IF($G789="","",IF(AND(OR($O789="Vet",$O789="Woman Vet"),ISERROR(MATCH($N789,Lge_Vets!$B:$B,0))),1,0))</f>
        <v/>
      </c>
      <c r="E789" s="2" t="str">
        <f>IF($G789="","",IF(AND(OR($O789="Junior",$O789="Woman Junior",$O789="Youth",$O789="Woman Youth"),ISERROR(MATCH($N789,Lge_Junior!$B:$B,0))),1,0))</f>
        <v/>
      </c>
      <c r="F789" s="2" t="str">
        <f>IF($G789="","",IF(AND(LEFT($O789,3)="You",ISERROR(MATCH($N789,Lge_Youth!$B:$B,0))),1,0))</f>
        <v/>
      </c>
      <c r="G789" s="3"/>
      <c r="H789" s="3"/>
      <c r="I789" s="3"/>
      <c r="J789" s="3"/>
      <c r="K789" s="6"/>
      <c r="L789" s="4"/>
      <c r="M789" s="4"/>
      <c r="N789" s="8"/>
      <c r="O789" s="8"/>
      <c r="P789" s="9"/>
      <c r="Q789" s="8"/>
      <c r="R789" s="8"/>
      <c r="S789" s="9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10"/>
    </row>
    <row r="790" spans="1:39" x14ac:dyDescent="0.2">
      <c r="A790" s="2" t="str">
        <f>IF($G790="","",IF(ISERROR(MATCH($N790,Lge_Scratch!$B:$B,0)),1,0))</f>
        <v/>
      </c>
      <c r="B790" s="2" t="str">
        <f>IF($G790="","",IF(AND(LEFT($Q790,8)="Non-aero",ISERROR(MATCH($N790,Lge_NonAero!$B:$B,0))),1,0))</f>
        <v/>
      </c>
      <c r="C790" s="5" t="str">
        <f>IF($G790="","",IF(AND(LEFT($O790,3)="Wom",ISERROR(MATCH($N790,Lge_Women!$B:$B,0))),1,0))</f>
        <v/>
      </c>
      <c r="D790" s="2" t="str">
        <f>IF($G790="","",IF(AND(OR($O790="Vet",$O790="Woman Vet"),ISERROR(MATCH($N790,Lge_Vets!$B:$B,0))),1,0))</f>
        <v/>
      </c>
      <c r="E790" s="2" t="str">
        <f>IF($G790="","",IF(AND(OR($O790="Junior",$O790="Woman Junior",$O790="Youth",$O790="Woman Youth"),ISERROR(MATCH($N790,Lge_Junior!$B:$B,0))),1,0))</f>
        <v/>
      </c>
      <c r="F790" s="2" t="str">
        <f>IF($G790="","",IF(AND(LEFT($O790,3)="You",ISERROR(MATCH($N790,Lge_Youth!$B:$B,0))),1,0))</f>
        <v/>
      </c>
      <c r="G790" s="3"/>
      <c r="H790" s="3"/>
      <c r="I790" s="3"/>
      <c r="J790" s="3"/>
      <c r="K790" s="6"/>
      <c r="L790" s="4"/>
      <c r="M790" s="4"/>
      <c r="N790" s="8"/>
      <c r="O790" s="8"/>
      <c r="P790" s="9"/>
      <c r="Q790" s="8"/>
      <c r="R790" s="8"/>
      <c r="S790" s="9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10"/>
    </row>
    <row r="791" spans="1:39" x14ac:dyDescent="0.2">
      <c r="A791" s="2" t="str">
        <f>IF($G791="","",IF(ISERROR(MATCH($N791,Lge_Scratch!$B:$B,0)),1,0))</f>
        <v/>
      </c>
      <c r="B791" s="2" t="str">
        <f>IF($G791="","",IF(AND(LEFT($Q791,8)="Non-aero",ISERROR(MATCH($N791,Lge_NonAero!$B:$B,0))),1,0))</f>
        <v/>
      </c>
      <c r="C791" s="5" t="str">
        <f>IF($G791="","",IF(AND(LEFT($O791,3)="Wom",ISERROR(MATCH($N791,Lge_Women!$B:$B,0))),1,0))</f>
        <v/>
      </c>
      <c r="D791" s="2" t="str">
        <f>IF($G791="","",IF(AND(OR($O791="Vet",$O791="Woman Vet"),ISERROR(MATCH($N791,Lge_Vets!$B:$B,0))),1,0))</f>
        <v/>
      </c>
      <c r="E791" s="2" t="str">
        <f>IF($G791="","",IF(AND(OR($O791="Junior",$O791="Woman Junior",$O791="Youth",$O791="Woman Youth"),ISERROR(MATCH($N791,Lge_Junior!$B:$B,0))),1,0))</f>
        <v/>
      </c>
      <c r="F791" s="2" t="str">
        <f>IF($G791="","",IF(AND(LEFT($O791,3)="You",ISERROR(MATCH($N791,Lge_Youth!$B:$B,0))),1,0))</f>
        <v/>
      </c>
      <c r="G791" s="3"/>
      <c r="H791" s="3"/>
      <c r="I791" s="3"/>
      <c r="J791" s="3"/>
      <c r="K791" s="6"/>
      <c r="L791" s="4"/>
      <c r="M791" s="4"/>
      <c r="N791" s="8"/>
      <c r="O791" s="8"/>
      <c r="P791" s="9"/>
      <c r="Q791" s="8"/>
      <c r="R791" s="8"/>
      <c r="S791" s="9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10"/>
    </row>
    <row r="792" spans="1:39" x14ac:dyDescent="0.2">
      <c r="A792" s="2" t="str">
        <f>IF($G792="","",IF(ISERROR(MATCH($N792,Lge_Scratch!$B:$B,0)),1,0))</f>
        <v/>
      </c>
      <c r="B792" s="2" t="str">
        <f>IF($G792="","",IF(AND(LEFT($Q792,8)="Non-aero",ISERROR(MATCH($N792,Lge_NonAero!$B:$B,0))),1,0))</f>
        <v/>
      </c>
      <c r="C792" s="5" t="str">
        <f>IF($G792="","",IF(AND(LEFT($O792,3)="Wom",ISERROR(MATCH($N792,Lge_Women!$B:$B,0))),1,0))</f>
        <v/>
      </c>
      <c r="D792" s="2" t="str">
        <f>IF($G792="","",IF(AND(OR($O792="Vet",$O792="Woman Vet"),ISERROR(MATCH($N792,Lge_Vets!$B:$B,0))),1,0))</f>
        <v/>
      </c>
      <c r="E792" s="2" t="str">
        <f>IF($G792="","",IF(AND(OR($O792="Junior",$O792="Woman Junior",$O792="Youth",$O792="Woman Youth"),ISERROR(MATCH($N792,Lge_Junior!$B:$B,0))),1,0))</f>
        <v/>
      </c>
      <c r="F792" s="2" t="str">
        <f>IF($G792="","",IF(AND(LEFT($O792,3)="You",ISERROR(MATCH($N792,Lge_Youth!$B:$B,0))),1,0))</f>
        <v/>
      </c>
      <c r="G792" s="3"/>
      <c r="H792" s="3"/>
      <c r="I792" s="3"/>
      <c r="J792" s="3"/>
      <c r="K792" s="6"/>
      <c r="L792" s="4"/>
      <c r="M792" s="4"/>
      <c r="N792" s="8"/>
      <c r="O792" s="8"/>
      <c r="P792" s="9"/>
      <c r="Q792" s="8"/>
      <c r="R792" s="8"/>
      <c r="S792" s="9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10"/>
    </row>
    <row r="793" spans="1:39" x14ac:dyDescent="0.2">
      <c r="A793" s="2" t="str">
        <f>IF($G793="","",IF(ISERROR(MATCH($N793,Lge_Scratch!$B:$B,0)),1,0))</f>
        <v/>
      </c>
      <c r="B793" s="2" t="str">
        <f>IF($G793="","",IF(AND(LEFT($Q793,8)="Non-aero",ISERROR(MATCH($N793,Lge_NonAero!$B:$B,0))),1,0))</f>
        <v/>
      </c>
      <c r="C793" s="5" t="str">
        <f>IF($G793="","",IF(AND(LEFT($O793,3)="Wom",ISERROR(MATCH($N793,Lge_Women!$B:$B,0))),1,0))</f>
        <v/>
      </c>
      <c r="D793" s="2" t="str">
        <f>IF($G793="","",IF(AND(OR($O793="Vet",$O793="Woman Vet"),ISERROR(MATCH($N793,Lge_Vets!$B:$B,0))),1,0))</f>
        <v/>
      </c>
      <c r="E793" s="2" t="str">
        <f>IF($G793="","",IF(AND(OR($O793="Junior",$O793="Woman Junior",$O793="Youth",$O793="Woman Youth"),ISERROR(MATCH($N793,Lge_Junior!$B:$B,0))),1,0))</f>
        <v/>
      </c>
      <c r="F793" s="2" t="str">
        <f>IF($G793="","",IF(AND(LEFT($O793,3)="You",ISERROR(MATCH($N793,Lge_Youth!$B:$B,0))),1,0))</f>
        <v/>
      </c>
      <c r="G793" s="3"/>
      <c r="H793" s="3"/>
      <c r="I793" s="3"/>
      <c r="J793" s="3"/>
      <c r="K793" s="6"/>
      <c r="L793" s="4"/>
      <c r="M793" s="4"/>
      <c r="N793" s="8"/>
      <c r="O793" s="8"/>
      <c r="P793" s="9"/>
      <c r="Q793" s="8"/>
      <c r="R793" s="8"/>
      <c r="S793" s="9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10"/>
    </row>
    <row r="794" spans="1:39" x14ac:dyDescent="0.2">
      <c r="A794" s="2" t="str">
        <f>IF($G794="","",IF(ISERROR(MATCH($N794,Lge_Scratch!$B:$B,0)),1,0))</f>
        <v/>
      </c>
      <c r="B794" s="2" t="str">
        <f>IF($G794="","",IF(AND(LEFT($Q794,8)="Non-aero",ISERROR(MATCH($N794,Lge_NonAero!$B:$B,0))),1,0))</f>
        <v/>
      </c>
      <c r="C794" s="5" t="str">
        <f>IF($G794="","",IF(AND(LEFT($O794,3)="Wom",ISERROR(MATCH($N794,Lge_Women!$B:$B,0))),1,0))</f>
        <v/>
      </c>
      <c r="D794" s="2" t="str">
        <f>IF($G794="","",IF(AND(OR($O794="Vet",$O794="Woman Vet"),ISERROR(MATCH($N794,Lge_Vets!$B:$B,0))),1,0))</f>
        <v/>
      </c>
      <c r="E794" s="2" t="str">
        <f>IF($G794="","",IF(AND(OR($O794="Junior",$O794="Woman Junior",$O794="Youth",$O794="Woman Youth"),ISERROR(MATCH($N794,Lge_Junior!$B:$B,0))),1,0))</f>
        <v/>
      </c>
      <c r="F794" s="2" t="str">
        <f>IF($G794="","",IF(AND(LEFT($O794,3)="You",ISERROR(MATCH($N794,Lge_Youth!$B:$B,0))),1,0))</f>
        <v/>
      </c>
      <c r="G794" s="3"/>
      <c r="H794" s="3"/>
      <c r="I794" s="3"/>
      <c r="J794" s="3"/>
      <c r="K794" s="6"/>
      <c r="L794" s="4"/>
      <c r="M794" s="4"/>
      <c r="N794" s="8"/>
      <c r="O794" s="8"/>
      <c r="P794" s="9"/>
      <c r="Q794" s="8"/>
      <c r="R794" s="8"/>
      <c r="S794" s="9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10"/>
    </row>
    <row r="795" spans="1:39" x14ac:dyDescent="0.2">
      <c r="A795" s="2" t="str">
        <f>IF($G795="","",IF(ISERROR(MATCH($N795,Lge_Scratch!$B:$B,0)),1,0))</f>
        <v/>
      </c>
      <c r="B795" s="2" t="str">
        <f>IF($G795="","",IF(AND(LEFT($Q795,8)="Non-aero",ISERROR(MATCH($N795,Lge_NonAero!$B:$B,0))),1,0))</f>
        <v/>
      </c>
      <c r="C795" s="5" t="str">
        <f>IF($G795="","",IF(AND(LEFT($O795,3)="Wom",ISERROR(MATCH($N795,Lge_Women!$B:$B,0))),1,0))</f>
        <v/>
      </c>
      <c r="D795" s="2" t="str">
        <f>IF($G795="","",IF(AND(OR($O795="Vet",$O795="Woman Vet"),ISERROR(MATCH($N795,Lge_Vets!$B:$B,0))),1,0))</f>
        <v/>
      </c>
      <c r="E795" s="2" t="str">
        <f>IF($G795="","",IF(AND(OR($O795="Junior",$O795="Woman Junior",$O795="Youth",$O795="Woman Youth"),ISERROR(MATCH($N795,Lge_Junior!$B:$B,0))),1,0))</f>
        <v/>
      </c>
      <c r="F795" s="2" t="str">
        <f>IF($G795="","",IF(AND(LEFT($O795,3)="You",ISERROR(MATCH($N795,Lge_Youth!$B:$B,0))),1,0))</f>
        <v/>
      </c>
      <c r="G795" s="3"/>
      <c r="H795" s="3"/>
      <c r="I795" s="3"/>
      <c r="J795" s="3"/>
      <c r="K795" s="6"/>
      <c r="L795" s="4"/>
      <c r="M795" s="4"/>
      <c r="N795" s="8"/>
      <c r="O795" s="8"/>
      <c r="P795" s="9"/>
      <c r="Q795" s="8"/>
      <c r="R795" s="8"/>
      <c r="S795" s="9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10"/>
    </row>
    <row r="796" spans="1:39" x14ac:dyDescent="0.2">
      <c r="A796" s="2" t="str">
        <f>IF($G796="","",IF(ISERROR(MATCH($N796,Lge_Scratch!$B:$B,0)),1,0))</f>
        <v/>
      </c>
      <c r="B796" s="2" t="str">
        <f>IF($G796="","",IF(AND(LEFT($Q796,8)="Non-aero",ISERROR(MATCH($N796,Lge_NonAero!$B:$B,0))),1,0))</f>
        <v/>
      </c>
      <c r="C796" s="5" t="str">
        <f>IF($G796="","",IF(AND(LEFT($O796,3)="Wom",ISERROR(MATCH($N796,Lge_Women!$B:$B,0))),1,0))</f>
        <v/>
      </c>
      <c r="D796" s="2" t="str">
        <f>IF($G796="","",IF(AND(OR($O796="Vet",$O796="Woman Vet"),ISERROR(MATCH($N796,Lge_Vets!$B:$B,0))),1,0))</f>
        <v/>
      </c>
      <c r="E796" s="2" t="str">
        <f>IF($G796="","",IF(AND(OR($O796="Junior",$O796="Woman Junior",$O796="Youth",$O796="Woman Youth"),ISERROR(MATCH($N796,Lge_Junior!$B:$B,0))),1,0))</f>
        <v/>
      </c>
      <c r="F796" s="2" t="str">
        <f>IF($G796="","",IF(AND(LEFT($O796,3)="You",ISERROR(MATCH($N796,Lge_Youth!$B:$B,0))),1,0))</f>
        <v/>
      </c>
      <c r="G796" s="3"/>
      <c r="H796" s="3"/>
      <c r="I796" s="3"/>
      <c r="J796" s="3"/>
      <c r="K796" s="6"/>
      <c r="L796" s="4"/>
      <c r="M796" s="4"/>
      <c r="N796" s="8"/>
      <c r="O796" s="8"/>
      <c r="P796" s="9"/>
      <c r="Q796" s="8"/>
      <c r="R796" s="8"/>
      <c r="S796" s="9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10"/>
    </row>
    <row r="797" spans="1:39" x14ac:dyDescent="0.2">
      <c r="A797" s="2" t="str">
        <f>IF($G797="","",IF(ISERROR(MATCH($N797,Lge_Scratch!$B:$B,0)),1,0))</f>
        <v/>
      </c>
      <c r="B797" s="2" t="str">
        <f>IF($G797="","",IF(AND(LEFT($Q797,8)="Non-aero",ISERROR(MATCH($N797,Lge_NonAero!$B:$B,0))),1,0))</f>
        <v/>
      </c>
      <c r="C797" s="5" t="str">
        <f>IF($G797="","",IF(AND(LEFT($O797,3)="Wom",ISERROR(MATCH($N797,Lge_Women!$B:$B,0))),1,0))</f>
        <v/>
      </c>
      <c r="D797" s="2" t="str">
        <f>IF($G797="","",IF(AND(OR($O797="Vet",$O797="Woman Vet"),ISERROR(MATCH($N797,Lge_Vets!$B:$B,0))),1,0))</f>
        <v/>
      </c>
      <c r="E797" s="2" t="str">
        <f>IF($G797="","",IF(AND(OR($O797="Junior",$O797="Woman Junior",$O797="Youth",$O797="Woman Youth"),ISERROR(MATCH($N797,Lge_Junior!$B:$B,0))),1,0))</f>
        <v/>
      </c>
      <c r="F797" s="2" t="str">
        <f>IF($G797="","",IF(AND(LEFT($O797,3)="You",ISERROR(MATCH($N797,Lge_Youth!$B:$B,0))),1,0))</f>
        <v/>
      </c>
      <c r="G797" s="3"/>
      <c r="H797" s="3"/>
      <c r="I797" s="3"/>
      <c r="J797" s="3"/>
      <c r="K797" s="6"/>
      <c r="L797" s="4"/>
      <c r="M797" s="4"/>
      <c r="N797" s="8"/>
      <c r="O797" s="8"/>
      <c r="P797" s="9"/>
      <c r="Q797" s="8"/>
      <c r="R797" s="8"/>
      <c r="S797" s="9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10"/>
    </row>
    <row r="798" spans="1:39" x14ac:dyDescent="0.2">
      <c r="A798" s="2" t="str">
        <f>IF($G798="","",IF(ISERROR(MATCH($N798,Lge_Scratch!$B:$B,0)),1,0))</f>
        <v/>
      </c>
      <c r="B798" s="2" t="str">
        <f>IF($G798="","",IF(AND(LEFT($Q798,8)="Non-aero",ISERROR(MATCH($N798,Lge_NonAero!$B:$B,0))),1,0))</f>
        <v/>
      </c>
      <c r="C798" s="5" t="str">
        <f>IF($G798="","",IF(AND(LEFT($O798,3)="Wom",ISERROR(MATCH($N798,Lge_Women!$B:$B,0))),1,0))</f>
        <v/>
      </c>
      <c r="D798" s="2" t="str">
        <f>IF($G798="","",IF(AND(OR($O798="Vet",$O798="Woman Vet"),ISERROR(MATCH($N798,Lge_Vets!$B:$B,0))),1,0))</f>
        <v/>
      </c>
      <c r="E798" s="2" t="str">
        <f>IF($G798="","",IF(AND(OR($O798="Junior",$O798="Woman Junior",$O798="Youth",$O798="Woman Youth"),ISERROR(MATCH($N798,Lge_Junior!$B:$B,0))),1,0))</f>
        <v/>
      </c>
      <c r="F798" s="2" t="str">
        <f>IF($G798="","",IF(AND(LEFT($O798,3)="You",ISERROR(MATCH($N798,Lge_Youth!$B:$B,0))),1,0))</f>
        <v/>
      </c>
      <c r="G798" s="3"/>
      <c r="H798" s="3"/>
      <c r="I798" s="3"/>
      <c r="J798" s="3"/>
      <c r="K798" s="6"/>
      <c r="L798" s="4"/>
      <c r="M798" s="4"/>
      <c r="N798" s="8"/>
      <c r="O798" s="8"/>
      <c r="P798" s="9"/>
      <c r="Q798" s="8"/>
      <c r="R798" s="8"/>
      <c r="S798" s="9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10"/>
    </row>
    <row r="799" spans="1:39" x14ac:dyDescent="0.2">
      <c r="A799" s="2" t="str">
        <f>IF($G799="","",IF(ISERROR(MATCH($N799,Lge_Scratch!$B:$B,0)),1,0))</f>
        <v/>
      </c>
      <c r="B799" s="2" t="str">
        <f>IF($G799="","",IF(AND(LEFT($Q799,8)="Non-aero",ISERROR(MATCH($N799,Lge_NonAero!$B:$B,0))),1,0))</f>
        <v/>
      </c>
      <c r="C799" s="5" t="str">
        <f>IF($G799="","",IF(AND(LEFT($O799,3)="Wom",ISERROR(MATCH($N799,Lge_Women!$B:$B,0))),1,0))</f>
        <v/>
      </c>
      <c r="D799" s="2" t="str">
        <f>IF($G799="","",IF(AND(OR($O799="Vet",$O799="Woman Vet"),ISERROR(MATCH($N799,Lge_Vets!$B:$B,0))),1,0))</f>
        <v/>
      </c>
      <c r="E799" s="2" t="str">
        <f>IF($G799="","",IF(AND(OR($O799="Junior",$O799="Woman Junior",$O799="Youth",$O799="Woman Youth"),ISERROR(MATCH($N799,Lge_Junior!$B:$B,0))),1,0))</f>
        <v/>
      </c>
      <c r="F799" s="2" t="str">
        <f>IF($G799="","",IF(AND(LEFT($O799,3)="You",ISERROR(MATCH($N799,Lge_Youth!$B:$B,0))),1,0))</f>
        <v/>
      </c>
      <c r="G799" s="3"/>
      <c r="H799" s="3"/>
      <c r="I799" s="3"/>
      <c r="J799" s="3"/>
      <c r="K799" s="6"/>
      <c r="L799" s="4"/>
      <c r="M799" s="4"/>
      <c r="N799" s="8"/>
      <c r="O799" s="8"/>
      <c r="P799" s="9"/>
      <c r="Q799" s="8"/>
      <c r="R799" s="8"/>
      <c r="S799" s="9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10"/>
    </row>
    <row r="800" spans="1:39" x14ac:dyDescent="0.2">
      <c r="A800" s="2" t="str">
        <f>IF($G800="","",IF(ISERROR(MATCH($N800,Lge_Scratch!$B:$B,0)),1,0))</f>
        <v/>
      </c>
      <c r="B800" s="2" t="str">
        <f>IF($G800="","",IF(AND(LEFT($Q800,8)="Non-aero",ISERROR(MATCH($N800,Lge_NonAero!$B:$B,0))),1,0))</f>
        <v/>
      </c>
      <c r="C800" s="5" t="str">
        <f>IF($G800="","",IF(AND(LEFT($O800,3)="Wom",ISERROR(MATCH($N800,Lge_Women!$B:$B,0))),1,0))</f>
        <v/>
      </c>
      <c r="D800" s="2" t="str">
        <f>IF($G800="","",IF(AND(OR($O800="Vet",$O800="Woman Vet"),ISERROR(MATCH($N800,Lge_Vets!$B:$B,0))),1,0))</f>
        <v/>
      </c>
      <c r="E800" s="2" t="str">
        <f>IF($G800="","",IF(AND(OR($O800="Junior",$O800="Woman Junior",$O800="Youth",$O800="Woman Youth"),ISERROR(MATCH($N800,Lge_Junior!$B:$B,0))),1,0))</f>
        <v/>
      </c>
      <c r="F800" s="2" t="str">
        <f>IF($G800="","",IF(AND(LEFT($O800,3)="You",ISERROR(MATCH($N800,Lge_Youth!$B:$B,0))),1,0))</f>
        <v/>
      </c>
      <c r="G800" s="3"/>
      <c r="H800" s="3"/>
      <c r="I800" s="3"/>
      <c r="J800" s="3"/>
      <c r="K800" s="6"/>
      <c r="L800" s="4"/>
      <c r="M800" s="4"/>
      <c r="N800" s="8"/>
      <c r="O800" s="8"/>
      <c r="P800" s="9"/>
      <c r="Q800" s="8"/>
      <c r="R800" s="8"/>
      <c r="S800" s="9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10"/>
    </row>
    <row r="801" spans="1:39" x14ac:dyDescent="0.2">
      <c r="A801" s="2" t="str">
        <f>IF($G801="","",IF(ISERROR(MATCH($N801,Lge_Scratch!$B:$B,0)),1,0))</f>
        <v/>
      </c>
      <c r="B801" s="2" t="str">
        <f>IF($G801="","",IF(AND(LEFT($Q801,8)="Non-aero",ISERROR(MATCH($N801,Lge_NonAero!$B:$B,0))),1,0))</f>
        <v/>
      </c>
      <c r="C801" s="5" t="str">
        <f>IF($G801="","",IF(AND(LEFT($O801,3)="Wom",ISERROR(MATCH($N801,Lge_Women!$B:$B,0))),1,0))</f>
        <v/>
      </c>
      <c r="D801" s="2" t="str">
        <f>IF($G801="","",IF(AND(OR($O801="Vet",$O801="Woman Vet"),ISERROR(MATCH($N801,Lge_Vets!$B:$B,0))),1,0))</f>
        <v/>
      </c>
      <c r="E801" s="2" t="str">
        <f>IF($G801="","",IF(AND(OR($O801="Junior",$O801="Woman Junior",$O801="Youth",$O801="Woman Youth"),ISERROR(MATCH($N801,Lge_Junior!$B:$B,0))),1,0))</f>
        <v/>
      </c>
      <c r="F801" s="2" t="str">
        <f>IF($G801="","",IF(AND(LEFT($O801,3)="You",ISERROR(MATCH($N801,Lge_Youth!$B:$B,0))),1,0))</f>
        <v/>
      </c>
      <c r="G801" s="3"/>
      <c r="H801" s="3"/>
      <c r="I801" s="3"/>
      <c r="J801" s="3"/>
      <c r="K801" s="6"/>
      <c r="L801" s="4"/>
      <c r="M801" s="4"/>
      <c r="N801" s="8"/>
      <c r="O801" s="8"/>
      <c r="P801" s="9"/>
      <c r="Q801" s="8"/>
      <c r="R801" s="8"/>
      <c r="S801" s="9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10"/>
    </row>
    <row r="802" spans="1:39" x14ac:dyDescent="0.2">
      <c r="A802" s="2" t="str">
        <f>IF($G802="","",IF(ISERROR(MATCH($N802,Lge_Scratch!$B:$B,0)),1,0))</f>
        <v/>
      </c>
      <c r="B802" s="2" t="str">
        <f>IF($G802="","",IF(AND(LEFT($Q802,8)="Non-aero",ISERROR(MATCH($N802,Lge_NonAero!$B:$B,0))),1,0))</f>
        <v/>
      </c>
      <c r="C802" s="5" t="str">
        <f>IF($G802="","",IF(AND(LEFT($O802,3)="Wom",ISERROR(MATCH($N802,Lge_Women!$B:$B,0))),1,0))</f>
        <v/>
      </c>
      <c r="D802" s="2" t="str">
        <f>IF($G802="","",IF(AND(OR($O802="Vet",$O802="Woman Vet"),ISERROR(MATCH($N802,Lge_Vets!$B:$B,0))),1,0))</f>
        <v/>
      </c>
      <c r="E802" s="2" t="str">
        <f>IF($G802="","",IF(AND(OR($O802="Junior",$O802="Woman Junior",$O802="Youth",$O802="Woman Youth"),ISERROR(MATCH($N802,Lge_Junior!$B:$B,0))),1,0))</f>
        <v/>
      </c>
      <c r="F802" s="2" t="str">
        <f>IF($G802="","",IF(AND(LEFT($O802,3)="You",ISERROR(MATCH($N802,Lge_Youth!$B:$B,0))),1,0))</f>
        <v/>
      </c>
      <c r="G802" s="3"/>
      <c r="H802" s="3"/>
      <c r="I802" s="3"/>
      <c r="J802" s="3"/>
      <c r="K802" s="6"/>
      <c r="L802" s="4"/>
      <c r="M802" s="4"/>
      <c r="N802" s="8"/>
      <c r="O802" s="8"/>
      <c r="P802" s="9"/>
      <c r="Q802" s="8"/>
      <c r="R802" s="8"/>
      <c r="S802" s="9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10"/>
    </row>
    <row r="803" spans="1:39" x14ac:dyDescent="0.2">
      <c r="A803" s="2" t="str">
        <f>IF($G803="","",IF(ISERROR(MATCH($N803,Lge_Scratch!$B:$B,0)),1,0))</f>
        <v/>
      </c>
      <c r="B803" s="2" t="str">
        <f>IF($G803="","",IF(AND(LEFT($Q803,8)="Non-aero",ISERROR(MATCH($N803,Lge_NonAero!$B:$B,0))),1,0))</f>
        <v/>
      </c>
      <c r="C803" s="5" t="str">
        <f>IF($G803="","",IF(AND(LEFT($O803,3)="Wom",ISERROR(MATCH($N803,Lge_Women!$B:$B,0))),1,0))</f>
        <v/>
      </c>
      <c r="D803" s="2" t="str">
        <f>IF($G803="","",IF(AND(OR($O803="Vet",$O803="Woman Vet"),ISERROR(MATCH($N803,Lge_Vets!$B:$B,0))),1,0))</f>
        <v/>
      </c>
      <c r="E803" s="2" t="str">
        <f>IF($G803="","",IF(AND(OR($O803="Junior",$O803="Woman Junior",$O803="Youth",$O803="Woman Youth"),ISERROR(MATCH($N803,Lge_Junior!$B:$B,0))),1,0))</f>
        <v/>
      </c>
      <c r="F803" s="2" t="str">
        <f>IF($G803="","",IF(AND(LEFT($O803,3)="You",ISERROR(MATCH($N803,Lge_Youth!$B:$B,0))),1,0))</f>
        <v/>
      </c>
      <c r="G803" s="3"/>
      <c r="H803" s="3"/>
      <c r="I803" s="3"/>
      <c r="J803" s="3"/>
      <c r="K803" s="6"/>
      <c r="L803" s="4"/>
      <c r="M803" s="4"/>
      <c r="N803" s="8"/>
      <c r="O803" s="8"/>
      <c r="P803" s="9"/>
      <c r="Q803" s="8"/>
      <c r="R803" s="8"/>
      <c r="S803" s="9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10"/>
    </row>
    <row r="804" spans="1:39" x14ac:dyDescent="0.2">
      <c r="A804" s="2" t="str">
        <f>IF($G804="","",IF(ISERROR(MATCH($N804,Lge_Scratch!$B:$B,0)),1,0))</f>
        <v/>
      </c>
      <c r="B804" s="2" t="str">
        <f>IF($G804="","",IF(AND(LEFT($Q804,8)="Non-aero",ISERROR(MATCH($N804,Lge_NonAero!$B:$B,0))),1,0))</f>
        <v/>
      </c>
      <c r="C804" s="5" t="str">
        <f>IF($G804="","",IF(AND(LEFT($O804,3)="Wom",ISERROR(MATCH($N804,Lge_Women!$B:$B,0))),1,0))</f>
        <v/>
      </c>
      <c r="D804" s="2" t="str">
        <f>IF($G804="","",IF(AND(OR($O804="Vet",$O804="Woman Vet"),ISERROR(MATCH($N804,Lge_Vets!$B:$B,0))),1,0))</f>
        <v/>
      </c>
      <c r="E804" s="2" t="str">
        <f>IF($G804="","",IF(AND(OR($O804="Junior",$O804="Woman Junior",$O804="Youth",$O804="Woman Youth"),ISERROR(MATCH($N804,Lge_Junior!$B:$B,0))),1,0))</f>
        <v/>
      </c>
      <c r="F804" s="2" t="str">
        <f>IF($G804="","",IF(AND(LEFT($O804,3)="You",ISERROR(MATCH($N804,Lge_Youth!$B:$B,0))),1,0))</f>
        <v/>
      </c>
      <c r="G804" s="3"/>
      <c r="H804" s="3"/>
      <c r="I804" s="3"/>
      <c r="J804" s="3"/>
      <c r="K804" s="6"/>
      <c r="L804" s="4"/>
      <c r="M804" s="4"/>
      <c r="N804" s="8"/>
      <c r="O804" s="8"/>
      <c r="P804" s="9"/>
      <c r="Q804" s="8"/>
      <c r="R804" s="8"/>
      <c r="S804" s="9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10"/>
    </row>
    <row r="805" spans="1:39" x14ac:dyDescent="0.2">
      <c r="A805" s="2" t="str">
        <f>IF($G805="","",IF(ISERROR(MATCH($N805,Lge_Scratch!$B:$B,0)),1,0))</f>
        <v/>
      </c>
      <c r="B805" s="2" t="str">
        <f>IF($G805="","",IF(AND(LEFT($Q805,8)="Non-aero",ISERROR(MATCH($N805,Lge_NonAero!$B:$B,0))),1,0))</f>
        <v/>
      </c>
      <c r="C805" s="5" t="str">
        <f>IF($G805="","",IF(AND(LEFT($O805,3)="Wom",ISERROR(MATCH($N805,Lge_Women!$B:$B,0))),1,0))</f>
        <v/>
      </c>
      <c r="D805" s="2" t="str">
        <f>IF($G805="","",IF(AND(OR($O805="Vet",$O805="Woman Vet"),ISERROR(MATCH($N805,Lge_Vets!$B:$B,0))),1,0))</f>
        <v/>
      </c>
      <c r="E805" s="2" t="str">
        <f>IF($G805="","",IF(AND(OR($O805="Junior",$O805="Woman Junior",$O805="Youth",$O805="Woman Youth"),ISERROR(MATCH($N805,Lge_Junior!$B:$B,0))),1,0))</f>
        <v/>
      </c>
      <c r="F805" s="2" t="str">
        <f>IF($G805="","",IF(AND(LEFT($O805,3)="You",ISERROR(MATCH($N805,Lge_Youth!$B:$B,0))),1,0))</f>
        <v/>
      </c>
      <c r="G805" s="3"/>
      <c r="H805" s="3"/>
      <c r="I805" s="3"/>
      <c r="J805" s="3"/>
      <c r="K805" s="6"/>
      <c r="L805" s="4"/>
      <c r="M805" s="4"/>
      <c r="N805" s="8"/>
      <c r="O805" s="8"/>
      <c r="P805" s="9"/>
      <c r="Q805" s="8"/>
      <c r="R805" s="8"/>
      <c r="S805" s="9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10"/>
    </row>
    <row r="806" spans="1:39" x14ac:dyDescent="0.2">
      <c r="A806" s="2" t="str">
        <f>IF($G806="","",IF(ISERROR(MATCH($N806,Lge_Scratch!$B:$B,0)),1,0))</f>
        <v/>
      </c>
      <c r="B806" s="2" t="str">
        <f>IF($G806="","",IF(AND(LEFT($Q806,8)="Non-aero",ISERROR(MATCH($N806,Lge_NonAero!$B:$B,0))),1,0))</f>
        <v/>
      </c>
      <c r="C806" s="5" t="str">
        <f>IF($G806="","",IF(AND(LEFT($O806,3)="Wom",ISERROR(MATCH($N806,Lge_Women!$B:$B,0))),1,0))</f>
        <v/>
      </c>
      <c r="D806" s="2" t="str">
        <f>IF($G806="","",IF(AND(OR($O806="Vet",$O806="Woman Vet"),ISERROR(MATCH($N806,Lge_Vets!$B:$B,0))),1,0))</f>
        <v/>
      </c>
      <c r="E806" s="2" t="str">
        <f>IF($G806="","",IF(AND(OR($O806="Junior",$O806="Woman Junior",$O806="Youth",$O806="Woman Youth"),ISERROR(MATCH($N806,Lge_Junior!$B:$B,0))),1,0))</f>
        <v/>
      </c>
      <c r="F806" s="2" t="str">
        <f>IF($G806="","",IF(AND(LEFT($O806,3)="You",ISERROR(MATCH($N806,Lge_Youth!$B:$B,0))),1,0))</f>
        <v/>
      </c>
      <c r="G806" s="3"/>
      <c r="H806" s="3"/>
      <c r="I806" s="3"/>
      <c r="J806" s="3"/>
      <c r="K806" s="6"/>
      <c r="L806" s="4"/>
      <c r="M806" s="4"/>
      <c r="N806" s="8"/>
      <c r="O806" s="8"/>
      <c r="P806" s="9"/>
      <c r="Q806" s="8"/>
      <c r="R806" s="8"/>
      <c r="S806" s="9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10"/>
    </row>
    <row r="807" spans="1:39" x14ac:dyDescent="0.2">
      <c r="A807" s="2" t="str">
        <f>IF($G807="","",IF(ISERROR(MATCH($N807,Lge_Scratch!$B:$B,0)),1,0))</f>
        <v/>
      </c>
      <c r="B807" s="2" t="str">
        <f>IF($G807="","",IF(AND(LEFT($Q807,8)="Non-aero",ISERROR(MATCH($N807,Lge_NonAero!$B:$B,0))),1,0))</f>
        <v/>
      </c>
      <c r="C807" s="5" t="str">
        <f>IF($G807="","",IF(AND(LEFT($O807,3)="Wom",ISERROR(MATCH($N807,Lge_Women!$B:$B,0))),1,0))</f>
        <v/>
      </c>
      <c r="D807" s="2" t="str">
        <f>IF($G807="","",IF(AND(OR($O807="Vet",$O807="Woman Vet"),ISERROR(MATCH($N807,Lge_Vets!$B:$B,0))),1,0))</f>
        <v/>
      </c>
      <c r="E807" s="2" t="str">
        <f>IF($G807="","",IF(AND(OR($O807="Junior",$O807="Woman Junior",$O807="Youth",$O807="Woman Youth"),ISERROR(MATCH($N807,Lge_Junior!$B:$B,0))),1,0))</f>
        <v/>
      </c>
      <c r="F807" s="2" t="str">
        <f>IF($G807="","",IF(AND(LEFT($O807,3)="You",ISERROR(MATCH($N807,Lge_Youth!$B:$B,0))),1,0))</f>
        <v/>
      </c>
      <c r="G807" s="3"/>
      <c r="H807" s="3"/>
      <c r="I807" s="3"/>
      <c r="J807" s="3"/>
      <c r="K807" s="6"/>
      <c r="L807" s="4"/>
      <c r="M807" s="4"/>
      <c r="N807" s="8"/>
      <c r="O807" s="8"/>
      <c r="P807" s="9"/>
      <c r="Q807" s="8"/>
      <c r="R807" s="8"/>
      <c r="S807" s="9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10"/>
    </row>
    <row r="808" spans="1:39" x14ac:dyDescent="0.2">
      <c r="A808" s="2" t="str">
        <f>IF($G808="","",IF(ISERROR(MATCH($N808,Lge_Scratch!$B:$B,0)),1,0))</f>
        <v/>
      </c>
      <c r="B808" s="2" t="str">
        <f>IF($G808="","",IF(AND(LEFT($Q808,8)="Non-aero",ISERROR(MATCH($N808,Lge_NonAero!$B:$B,0))),1,0))</f>
        <v/>
      </c>
      <c r="C808" s="5" t="str">
        <f>IF($G808="","",IF(AND(LEFT($O808,3)="Wom",ISERROR(MATCH($N808,Lge_Women!$B:$B,0))),1,0))</f>
        <v/>
      </c>
      <c r="D808" s="2" t="str">
        <f>IF($G808="","",IF(AND(OR($O808="Vet",$O808="Woman Vet"),ISERROR(MATCH($N808,Lge_Vets!$B:$B,0))),1,0))</f>
        <v/>
      </c>
      <c r="E808" s="2" t="str">
        <f>IF($G808="","",IF(AND(OR($O808="Junior",$O808="Woman Junior",$O808="Youth",$O808="Woman Youth"),ISERROR(MATCH($N808,Lge_Junior!$B:$B,0))),1,0))</f>
        <v/>
      </c>
      <c r="F808" s="2" t="str">
        <f>IF($G808="","",IF(AND(LEFT($O808,3)="You",ISERROR(MATCH($N808,Lge_Youth!$B:$B,0))),1,0))</f>
        <v/>
      </c>
      <c r="G808" s="3"/>
      <c r="H808" s="3"/>
      <c r="I808" s="3"/>
      <c r="J808" s="3"/>
      <c r="K808" s="6"/>
      <c r="L808" s="4"/>
      <c r="M808" s="4"/>
      <c r="N808" s="8"/>
      <c r="O808" s="8"/>
      <c r="P808" s="9"/>
      <c r="Q808" s="8"/>
      <c r="R808" s="8"/>
      <c r="S808" s="9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10"/>
    </row>
    <row r="809" spans="1:39" x14ac:dyDescent="0.2">
      <c r="A809" s="2" t="str">
        <f>IF($G809="","",IF(ISERROR(MATCH($N809,Lge_Scratch!$B:$B,0)),1,0))</f>
        <v/>
      </c>
      <c r="B809" s="2" t="str">
        <f>IF($G809="","",IF(AND(LEFT($Q809,8)="Non-aero",ISERROR(MATCH($N809,Lge_NonAero!$B:$B,0))),1,0))</f>
        <v/>
      </c>
      <c r="C809" s="5" t="str">
        <f>IF($G809="","",IF(AND(LEFT($O809,3)="Wom",ISERROR(MATCH($N809,Lge_Women!$B:$B,0))),1,0))</f>
        <v/>
      </c>
      <c r="D809" s="2" t="str">
        <f>IF($G809="","",IF(AND(OR($O809="Vet",$O809="Woman Vet"),ISERROR(MATCH($N809,Lge_Vets!$B:$B,0))),1,0))</f>
        <v/>
      </c>
      <c r="E809" s="2" t="str">
        <f>IF($G809="","",IF(AND(OR($O809="Junior",$O809="Woman Junior",$O809="Youth",$O809="Woman Youth"),ISERROR(MATCH($N809,Lge_Junior!$B:$B,0))),1,0))</f>
        <v/>
      </c>
      <c r="F809" s="2" t="str">
        <f>IF($G809="","",IF(AND(LEFT($O809,3)="You",ISERROR(MATCH($N809,Lge_Youth!$B:$B,0))),1,0))</f>
        <v/>
      </c>
      <c r="G809" s="3"/>
      <c r="H809" s="3"/>
      <c r="I809" s="3"/>
      <c r="J809" s="3"/>
      <c r="K809" s="6"/>
      <c r="L809" s="4"/>
      <c r="M809" s="4"/>
      <c r="N809" s="8"/>
      <c r="O809" s="8"/>
      <c r="P809" s="9"/>
      <c r="Q809" s="8"/>
      <c r="R809" s="8"/>
      <c r="S809" s="9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10"/>
    </row>
    <row r="810" spans="1:39" x14ac:dyDescent="0.2">
      <c r="A810" s="2" t="str">
        <f>IF($G810="","",IF(ISERROR(MATCH($N810,Lge_Scratch!$B:$B,0)),1,0))</f>
        <v/>
      </c>
      <c r="B810" s="2" t="str">
        <f>IF($G810="","",IF(AND(LEFT($Q810,8)="Non-aero",ISERROR(MATCH($N810,Lge_NonAero!$B:$B,0))),1,0))</f>
        <v/>
      </c>
      <c r="C810" s="5" t="str">
        <f>IF($G810="","",IF(AND(LEFT($O810,3)="Wom",ISERROR(MATCH($N810,Lge_Women!$B:$B,0))),1,0))</f>
        <v/>
      </c>
      <c r="D810" s="2" t="str">
        <f>IF($G810="","",IF(AND(OR($O810="Vet",$O810="Woman Vet"),ISERROR(MATCH($N810,Lge_Vets!$B:$B,0))),1,0))</f>
        <v/>
      </c>
      <c r="E810" s="2" t="str">
        <f>IF($G810="","",IF(AND(OR($O810="Junior",$O810="Woman Junior",$O810="Youth",$O810="Woman Youth"),ISERROR(MATCH($N810,Lge_Junior!$B:$B,0))),1,0))</f>
        <v/>
      </c>
      <c r="F810" s="2" t="str">
        <f>IF($G810="","",IF(AND(LEFT($O810,3)="You",ISERROR(MATCH($N810,Lge_Youth!$B:$B,0))),1,0))</f>
        <v/>
      </c>
      <c r="G810" s="3"/>
      <c r="H810" s="3"/>
      <c r="I810" s="3"/>
      <c r="J810" s="3"/>
      <c r="K810" s="6"/>
      <c r="L810" s="4"/>
      <c r="M810" s="4"/>
      <c r="N810" s="8"/>
      <c r="O810" s="8"/>
      <c r="P810" s="9"/>
      <c r="Q810" s="8"/>
      <c r="R810" s="8"/>
      <c r="S810" s="9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10"/>
    </row>
    <row r="811" spans="1:39" x14ac:dyDescent="0.2">
      <c r="A811" s="2" t="str">
        <f>IF($G811="","",IF(ISERROR(MATCH($N811,Lge_Scratch!$B:$B,0)),1,0))</f>
        <v/>
      </c>
      <c r="B811" s="2" t="str">
        <f>IF($G811="","",IF(AND(LEFT($Q811,8)="Non-aero",ISERROR(MATCH($N811,Lge_NonAero!$B:$B,0))),1,0))</f>
        <v/>
      </c>
      <c r="C811" s="5" t="str">
        <f>IF($G811="","",IF(AND(LEFT($O811,3)="Wom",ISERROR(MATCH($N811,Lge_Women!$B:$B,0))),1,0))</f>
        <v/>
      </c>
      <c r="D811" s="2" t="str">
        <f>IF($G811="","",IF(AND(OR($O811="Vet",$O811="Woman Vet"),ISERROR(MATCH($N811,Lge_Vets!$B:$B,0))),1,0))</f>
        <v/>
      </c>
      <c r="E811" s="2" t="str">
        <f>IF($G811="","",IF(AND(OR($O811="Junior",$O811="Woman Junior",$O811="Youth",$O811="Woman Youth"),ISERROR(MATCH($N811,Lge_Junior!$B:$B,0))),1,0))</f>
        <v/>
      </c>
      <c r="F811" s="2" t="str">
        <f>IF($G811="","",IF(AND(LEFT($O811,3)="You",ISERROR(MATCH($N811,Lge_Youth!$B:$B,0))),1,0))</f>
        <v/>
      </c>
      <c r="G811" s="3"/>
      <c r="H811" s="3"/>
      <c r="I811" s="3"/>
      <c r="J811" s="3"/>
      <c r="K811" s="6"/>
      <c r="L811" s="4"/>
      <c r="M811" s="4"/>
      <c r="N811" s="8"/>
      <c r="O811" s="8"/>
      <c r="P811" s="9"/>
      <c r="Q811" s="8"/>
      <c r="R811" s="8"/>
      <c r="S811" s="9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10"/>
    </row>
    <row r="812" spans="1:39" x14ac:dyDescent="0.2">
      <c r="A812" s="2" t="str">
        <f>IF($G812="","",IF(ISERROR(MATCH($N812,Lge_Scratch!$B:$B,0)),1,0))</f>
        <v/>
      </c>
      <c r="B812" s="2" t="str">
        <f>IF($G812="","",IF(AND(LEFT($Q812,8)="Non-aero",ISERROR(MATCH($N812,Lge_NonAero!$B:$B,0))),1,0))</f>
        <v/>
      </c>
      <c r="C812" s="5" t="str">
        <f>IF($G812="","",IF(AND(LEFT($O812,3)="Wom",ISERROR(MATCH($N812,Lge_Women!$B:$B,0))),1,0))</f>
        <v/>
      </c>
      <c r="D812" s="2" t="str">
        <f>IF($G812="","",IF(AND(OR($O812="Vet",$O812="Woman Vet"),ISERROR(MATCH($N812,Lge_Vets!$B:$B,0))),1,0))</f>
        <v/>
      </c>
      <c r="E812" s="2" t="str">
        <f>IF($G812="","",IF(AND(OR($O812="Junior",$O812="Woman Junior",$O812="Youth",$O812="Woman Youth"),ISERROR(MATCH($N812,Lge_Junior!$B:$B,0))),1,0))</f>
        <v/>
      </c>
      <c r="F812" s="2" t="str">
        <f>IF($G812="","",IF(AND(LEFT($O812,3)="You",ISERROR(MATCH($N812,Lge_Youth!$B:$B,0))),1,0))</f>
        <v/>
      </c>
      <c r="G812" s="3"/>
      <c r="H812" s="3"/>
      <c r="I812" s="3"/>
      <c r="J812" s="3"/>
      <c r="K812" s="6"/>
      <c r="L812" s="4"/>
      <c r="M812" s="4"/>
      <c r="N812" s="8"/>
      <c r="O812" s="8"/>
      <c r="P812" s="9"/>
      <c r="Q812" s="8"/>
      <c r="R812" s="8"/>
      <c r="S812" s="9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10"/>
    </row>
    <row r="813" spans="1:39" x14ac:dyDescent="0.2">
      <c r="A813" s="2" t="str">
        <f>IF($G813="","",IF(ISERROR(MATCH($N813,Lge_Scratch!$B:$B,0)),1,0))</f>
        <v/>
      </c>
      <c r="B813" s="2" t="str">
        <f>IF($G813="","",IF(AND(LEFT($Q813,8)="Non-aero",ISERROR(MATCH($N813,Lge_NonAero!$B:$B,0))),1,0))</f>
        <v/>
      </c>
      <c r="C813" s="5" t="str">
        <f>IF($G813="","",IF(AND(LEFT($O813,3)="Wom",ISERROR(MATCH($N813,Lge_Women!$B:$B,0))),1,0))</f>
        <v/>
      </c>
      <c r="D813" s="2" t="str">
        <f>IF($G813="","",IF(AND(OR($O813="Vet",$O813="Woman Vet"),ISERROR(MATCH($N813,Lge_Vets!$B:$B,0))),1,0))</f>
        <v/>
      </c>
      <c r="E813" s="2" t="str">
        <f>IF($G813="","",IF(AND(OR($O813="Junior",$O813="Woman Junior",$O813="Youth",$O813="Woman Youth"),ISERROR(MATCH($N813,Lge_Junior!$B:$B,0))),1,0))</f>
        <v/>
      </c>
      <c r="F813" s="2" t="str">
        <f>IF($G813="","",IF(AND(LEFT($O813,3)="You",ISERROR(MATCH($N813,Lge_Youth!$B:$B,0))),1,0))</f>
        <v/>
      </c>
      <c r="G813" s="3"/>
      <c r="H813" s="3"/>
      <c r="I813" s="3"/>
      <c r="J813" s="3"/>
      <c r="K813" s="6"/>
      <c r="L813" s="4"/>
      <c r="M813" s="4"/>
      <c r="N813" s="8"/>
      <c r="O813" s="8"/>
      <c r="P813" s="9"/>
      <c r="Q813" s="8"/>
      <c r="R813" s="8"/>
      <c r="S813" s="9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10"/>
    </row>
    <row r="814" spans="1:39" x14ac:dyDescent="0.2">
      <c r="A814" s="2" t="str">
        <f>IF($G814="","",IF(ISERROR(MATCH($N814,Lge_Scratch!$B:$B,0)),1,0))</f>
        <v/>
      </c>
      <c r="B814" s="2" t="str">
        <f>IF($G814="","",IF(AND(LEFT($Q814,8)="Non-aero",ISERROR(MATCH($N814,Lge_NonAero!$B:$B,0))),1,0))</f>
        <v/>
      </c>
      <c r="C814" s="5" t="str">
        <f>IF($G814="","",IF(AND(LEFT($O814,3)="Wom",ISERROR(MATCH($N814,Lge_Women!$B:$B,0))),1,0))</f>
        <v/>
      </c>
      <c r="D814" s="2" t="str">
        <f>IF($G814="","",IF(AND(OR($O814="Vet",$O814="Woman Vet"),ISERROR(MATCH($N814,Lge_Vets!$B:$B,0))),1,0))</f>
        <v/>
      </c>
      <c r="E814" s="2" t="str">
        <f>IF($G814="","",IF(AND(OR($O814="Junior",$O814="Woman Junior",$O814="Youth",$O814="Woman Youth"),ISERROR(MATCH($N814,Lge_Junior!$B:$B,0))),1,0))</f>
        <v/>
      </c>
      <c r="F814" s="2" t="str">
        <f>IF($G814="","",IF(AND(LEFT($O814,3)="You",ISERROR(MATCH($N814,Lge_Youth!$B:$B,0))),1,0))</f>
        <v/>
      </c>
      <c r="G814" s="3"/>
      <c r="H814" s="3"/>
      <c r="I814" s="3"/>
      <c r="J814" s="3"/>
      <c r="K814" s="6"/>
      <c r="L814" s="4"/>
      <c r="M814" s="4"/>
      <c r="N814" s="8"/>
      <c r="O814" s="8"/>
      <c r="P814" s="9"/>
      <c r="Q814" s="8"/>
      <c r="R814" s="8"/>
      <c r="S814" s="9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10"/>
    </row>
    <row r="815" spans="1:39" x14ac:dyDescent="0.2">
      <c r="A815" s="2" t="str">
        <f>IF($G815="","",IF(ISERROR(MATCH($N815,Lge_Scratch!$B:$B,0)),1,0))</f>
        <v/>
      </c>
      <c r="B815" s="2" t="str">
        <f>IF($G815="","",IF(AND(LEFT($Q815,8)="Non-aero",ISERROR(MATCH($N815,Lge_NonAero!$B:$B,0))),1,0))</f>
        <v/>
      </c>
      <c r="C815" s="5" t="str">
        <f>IF($G815="","",IF(AND(LEFT($O815,3)="Wom",ISERROR(MATCH($N815,Lge_Women!$B:$B,0))),1,0))</f>
        <v/>
      </c>
      <c r="D815" s="2" t="str">
        <f>IF($G815="","",IF(AND(OR($O815="Vet",$O815="Woman Vet"),ISERROR(MATCH($N815,Lge_Vets!$B:$B,0))),1,0))</f>
        <v/>
      </c>
      <c r="E815" s="2" t="str">
        <f>IF($G815="","",IF(AND(OR($O815="Junior",$O815="Woman Junior",$O815="Youth",$O815="Woman Youth"),ISERROR(MATCH($N815,Lge_Junior!$B:$B,0))),1,0))</f>
        <v/>
      </c>
      <c r="F815" s="2" t="str">
        <f>IF($G815="","",IF(AND(LEFT($O815,3)="You",ISERROR(MATCH($N815,Lge_Youth!$B:$B,0))),1,0))</f>
        <v/>
      </c>
      <c r="G815" s="3"/>
      <c r="H815" s="3"/>
      <c r="I815" s="3"/>
      <c r="J815" s="3"/>
      <c r="K815" s="6"/>
      <c r="L815" s="4"/>
      <c r="M815" s="4"/>
      <c r="N815" s="8"/>
      <c r="O815" s="8"/>
      <c r="P815" s="9"/>
      <c r="Q815" s="8"/>
      <c r="R815" s="8"/>
      <c r="S815" s="9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10"/>
    </row>
    <row r="816" spans="1:39" x14ac:dyDescent="0.2">
      <c r="A816" s="2" t="str">
        <f>IF($G816="","",IF(ISERROR(MATCH($N816,Lge_Scratch!$B:$B,0)),1,0))</f>
        <v/>
      </c>
      <c r="B816" s="2" t="str">
        <f>IF($G816="","",IF(AND(LEFT($Q816,8)="Non-aero",ISERROR(MATCH($N816,Lge_NonAero!$B:$B,0))),1,0))</f>
        <v/>
      </c>
      <c r="C816" s="5" t="str">
        <f>IF($G816="","",IF(AND(LEFT($O816,3)="Wom",ISERROR(MATCH($N816,Lge_Women!$B:$B,0))),1,0))</f>
        <v/>
      </c>
      <c r="D816" s="2" t="str">
        <f>IF($G816="","",IF(AND(OR($O816="Vet",$O816="Woman Vet"),ISERROR(MATCH($N816,Lge_Vets!$B:$B,0))),1,0))</f>
        <v/>
      </c>
      <c r="E816" s="2" t="str">
        <f>IF($G816="","",IF(AND(OR($O816="Junior",$O816="Woman Junior",$O816="Youth",$O816="Woman Youth"),ISERROR(MATCH($N816,Lge_Junior!$B:$B,0))),1,0))</f>
        <v/>
      </c>
      <c r="F816" s="2" t="str">
        <f>IF($G816="","",IF(AND(LEFT($O816,3)="You",ISERROR(MATCH($N816,Lge_Youth!$B:$B,0))),1,0))</f>
        <v/>
      </c>
      <c r="G816" s="3"/>
      <c r="H816" s="3"/>
      <c r="I816" s="3"/>
      <c r="J816" s="3"/>
      <c r="K816" s="6"/>
      <c r="L816" s="4"/>
      <c r="M816" s="4"/>
      <c r="N816" s="8"/>
      <c r="O816" s="8"/>
      <c r="P816" s="9"/>
      <c r="Q816" s="8"/>
      <c r="R816" s="8"/>
      <c r="S816" s="9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10"/>
    </row>
    <row r="817" spans="1:39" x14ac:dyDescent="0.2">
      <c r="A817" s="2" t="str">
        <f>IF($G817="","",IF(ISERROR(MATCH($N817,Lge_Scratch!$B:$B,0)),1,0))</f>
        <v/>
      </c>
      <c r="B817" s="2" t="str">
        <f>IF($G817="","",IF(AND(LEFT($Q817,8)="Non-aero",ISERROR(MATCH($N817,Lge_NonAero!$B:$B,0))),1,0))</f>
        <v/>
      </c>
      <c r="C817" s="5" t="str">
        <f>IF($G817="","",IF(AND(LEFT($O817,3)="Wom",ISERROR(MATCH($N817,Lge_Women!$B:$B,0))),1,0))</f>
        <v/>
      </c>
      <c r="D817" s="2" t="str">
        <f>IF($G817="","",IF(AND(OR($O817="Vet",$O817="Woman Vet"),ISERROR(MATCH($N817,Lge_Vets!$B:$B,0))),1,0))</f>
        <v/>
      </c>
      <c r="E817" s="2" t="str">
        <f>IF($G817="","",IF(AND(OR($O817="Junior",$O817="Woman Junior",$O817="Youth",$O817="Woman Youth"),ISERROR(MATCH($N817,Lge_Junior!$B:$B,0))),1,0))</f>
        <v/>
      </c>
      <c r="F817" s="2" t="str">
        <f>IF($G817="","",IF(AND(LEFT($O817,3)="You",ISERROR(MATCH($N817,Lge_Youth!$B:$B,0))),1,0))</f>
        <v/>
      </c>
      <c r="G817" s="3"/>
      <c r="H817" s="3"/>
      <c r="I817" s="3"/>
      <c r="J817" s="3"/>
      <c r="K817" s="6"/>
      <c r="L817" s="4"/>
      <c r="M817" s="4"/>
      <c r="N817" s="8"/>
      <c r="O817" s="8"/>
      <c r="P817" s="9"/>
      <c r="Q817" s="8"/>
      <c r="R817" s="8"/>
      <c r="S817" s="9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10"/>
    </row>
    <row r="818" spans="1:39" x14ac:dyDescent="0.2">
      <c r="A818" s="2" t="str">
        <f>IF($G818="","",IF(ISERROR(MATCH($N818,Lge_Scratch!$B:$B,0)),1,0))</f>
        <v/>
      </c>
      <c r="B818" s="2" t="str">
        <f>IF($G818="","",IF(AND(LEFT($Q818,8)="Non-aero",ISERROR(MATCH($N818,Lge_NonAero!$B:$B,0))),1,0))</f>
        <v/>
      </c>
      <c r="C818" s="5" t="str">
        <f>IF($G818="","",IF(AND(LEFT($O818,3)="Wom",ISERROR(MATCH($N818,Lge_Women!$B:$B,0))),1,0))</f>
        <v/>
      </c>
      <c r="D818" s="2" t="str">
        <f>IF($G818="","",IF(AND(OR($O818="Vet",$O818="Woman Vet"),ISERROR(MATCH($N818,Lge_Vets!$B:$B,0))),1,0))</f>
        <v/>
      </c>
      <c r="E818" s="2" t="str">
        <f>IF($G818="","",IF(AND(OR($O818="Junior",$O818="Woman Junior",$O818="Youth",$O818="Woman Youth"),ISERROR(MATCH($N818,Lge_Junior!$B:$B,0))),1,0))</f>
        <v/>
      </c>
      <c r="F818" s="2" t="str">
        <f>IF($G818="","",IF(AND(LEFT($O818,3)="You",ISERROR(MATCH($N818,Lge_Youth!$B:$B,0))),1,0))</f>
        <v/>
      </c>
      <c r="G818" s="3"/>
      <c r="H818" s="3"/>
      <c r="I818" s="3"/>
      <c r="J818" s="3"/>
      <c r="K818" s="6"/>
      <c r="L818" s="4"/>
      <c r="M818" s="4"/>
      <c r="N818" s="8"/>
      <c r="O818" s="8"/>
      <c r="P818" s="9"/>
      <c r="Q818" s="8"/>
      <c r="R818" s="8"/>
      <c r="S818" s="9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10"/>
    </row>
    <row r="819" spans="1:39" x14ac:dyDescent="0.2">
      <c r="A819" s="2" t="str">
        <f>IF($G819="","",IF(ISERROR(MATCH($N819,Lge_Scratch!$B:$B,0)),1,0))</f>
        <v/>
      </c>
      <c r="B819" s="2" t="str">
        <f>IF($G819="","",IF(AND(LEFT($Q819,8)="Non-aero",ISERROR(MATCH($N819,Lge_NonAero!$B:$B,0))),1,0))</f>
        <v/>
      </c>
      <c r="C819" s="5" t="str">
        <f>IF($G819="","",IF(AND(LEFT($O819,3)="Wom",ISERROR(MATCH($N819,Lge_Women!$B:$B,0))),1,0))</f>
        <v/>
      </c>
      <c r="D819" s="2" t="str">
        <f>IF($G819="","",IF(AND(OR($O819="Vet",$O819="Woman Vet"),ISERROR(MATCH($N819,Lge_Vets!$B:$B,0))),1,0))</f>
        <v/>
      </c>
      <c r="E819" s="2" t="str">
        <f>IF($G819="","",IF(AND(OR($O819="Junior",$O819="Woman Junior",$O819="Youth",$O819="Woman Youth"),ISERROR(MATCH($N819,Lge_Junior!$B:$B,0))),1,0))</f>
        <v/>
      </c>
      <c r="F819" s="2" t="str">
        <f>IF($G819="","",IF(AND(LEFT($O819,3)="You",ISERROR(MATCH($N819,Lge_Youth!$B:$B,0))),1,0))</f>
        <v/>
      </c>
      <c r="G819" s="3"/>
      <c r="H819" s="3"/>
      <c r="I819" s="3"/>
      <c r="J819" s="3"/>
      <c r="K819" s="6"/>
      <c r="L819" s="4"/>
      <c r="M819" s="4"/>
      <c r="N819" s="8"/>
      <c r="O819" s="8"/>
      <c r="P819" s="9"/>
      <c r="Q819" s="8"/>
      <c r="R819" s="8"/>
      <c r="S819" s="9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10"/>
    </row>
    <row r="820" spans="1:39" x14ac:dyDescent="0.2">
      <c r="A820" s="2" t="str">
        <f>IF($G820="","",IF(ISERROR(MATCH($N820,Lge_Scratch!$B:$B,0)),1,0))</f>
        <v/>
      </c>
      <c r="B820" s="2" t="str">
        <f>IF($G820="","",IF(AND(LEFT($Q820,8)="Non-aero",ISERROR(MATCH($N820,Lge_NonAero!$B:$B,0))),1,0))</f>
        <v/>
      </c>
      <c r="C820" s="5" t="str">
        <f>IF($G820="","",IF(AND(LEFT($O820,3)="Wom",ISERROR(MATCH($N820,Lge_Women!$B:$B,0))),1,0))</f>
        <v/>
      </c>
      <c r="D820" s="2" t="str">
        <f>IF($G820="","",IF(AND(OR($O820="Vet",$O820="Woman Vet"),ISERROR(MATCH($N820,Lge_Vets!$B:$B,0))),1,0))</f>
        <v/>
      </c>
      <c r="E820" s="2" t="str">
        <f>IF($G820="","",IF(AND(OR($O820="Junior",$O820="Woman Junior",$O820="Youth",$O820="Woman Youth"),ISERROR(MATCH($N820,Lge_Junior!$B:$B,0))),1,0))</f>
        <v/>
      </c>
      <c r="F820" s="2" t="str">
        <f>IF($G820="","",IF(AND(LEFT($O820,3)="You",ISERROR(MATCH($N820,Lge_Youth!$B:$B,0))),1,0))</f>
        <v/>
      </c>
      <c r="G820" s="3"/>
      <c r="H820" s="3"/>
      <c r="I820" s="3"/>
      <c r="J820" s="3"/>
      <c r="K820" s="6"/>
      <c r="L820" s="4"/>
      <c r="M820" s="4"/>
      <c r="N820" s="8"/>
      <c r="O820" s="8"/>
      <c r="P820" s="9"/>
      <c r="Q820" s="8"/>
      <c r="R820" s="8"/>
      <c r="S820" s="9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10"/>
    </row>
    <row r="821" spans="1:39" x14ac:dyDescent="0.2">
      <c r="A821" s="2" t="str">
        <f>IF($G821="","",IF(ISERROR(MATCH($N821,Lge_Scratch!$B:$B,0)),1,0))</f>
        <v/>
      </c>
      <c r="B821" s="2" t="str">
        <f>IF($G821="","",IF(AND(LEFT($Q821,8)="Non-aero",ISERROR(MATCH($N821,Lge_NonAero!$B:$B,0))),1,0))</f>
        <v/>
      </c>
      <c r="C821" s="5" t="str">
        <f>IF($G821="","",IF(AND(LEFT($O821,3)="Wom",ISERROR(MATCH($N821,Lge_Women!$B:$B,0))),1,0))</f>
        <v/>
      </c>
      <c r="D821" s="2" t="str">
        <f>IF($G821="","",IF(AND(OR($O821="Vet",$O821="Woman Vet"),ISERROR(MATCH($N821,Lge_Vets!$B:$B,0))),1,0))</f>
        <v/>
      </c>
      <c r="E821" s="2" t="str">
        <f>IF($G821="","",IF(AND(OR($O821="Junior",$O821="Woman Junior",$O821="Youth",$O821="Woman Youth"),ISERROR(MATCH($N821,Lge_Junior!$B:$B,0))),1,0))</f>
        <v/>
      </c>
      <c r="F821" s="2" t="str">
        <f>IF($G821="","",IF(AND(LEFT($O821,3)="You",ISERROR(MATCH($N821,Lge_Youth!$B:$B,0))),1,0))</f>
        <v/>
      </c>
      <c r="G821" s="3"/>
      <c r="H821" s="3"/>
      <c r="I821" s="3"/>
      <c r="J821" s="3"/>
      <c r="K821" s="6"/>
      <c r="L821" s="4"/>
      <c r="M821" s="4"/>
      <c r="N821" s="8"/>
      <c r="O821" s="8"/>
      <c r="P821" s="9"/>
      <c r="Q821" s="8"/>
      <c r="R821" s="8"/>
      <c r="S821" s="9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10"/>
    </row>
    <row r="822" spans="1:39" x14ac:dyDescent="0.2">
      <c r="A822" s="2" t="str">
        <f>IF($G822="","",IF(ISERROR(MATCH($N822,Lge_Scratch!$B:$B,0)),1,0))</f>
        <v/>
      </c>
      <c r="B822" s="2" t="str">
        <f>IF($G822="","",IF(AND(LEFT($Q822,8)="Non-aero",ISERROR(MATCH($N822,Lge_NonAero!$B:$B,0))),1,0))</f>
        <v/>
      </c>
      <c r="C822" s="5" t="str">
        <f>IF($G822="","",IF(AND(LEFT($O822,3)="Wom",ISERROR(MATCH($N822,Lge_Women!$B:$B,0))),1,0))</f>
        <v/>
      </c>
      <c r="D822" s="2" t="str">
        <f>IF($G822="","",IF(AND(OR($O822="Vet",$O822="Woman Vet"),ISERROR(MATCH($N822,Lge_Vets!$B:$B,0))),1,0))</f>
        <v/>
      </c>
      <c r="E822" s="2" t="str">
        <f>IF($G822="","",IF(AND(OR($O822="Junior",$O822="Woman Junior",$O822="Youth",$O822="Woman Youth"),ISERROR(MATCH($N822,Lge_Junior!$B:$B,0))),1,0))</f>
        <v/>
      </c>
      <c r="F822" s="2" t="str">
        <f>IF($G822="","",IF(AND(LEFT($O822,3)="You",ISERROR(MATCH($N822,Lge_Youth!$B:$B,0))),1,0))</f>
        <v/>
      </c>
      <c r="G822" s="3"/>
      <c r="H822" s="3"/>
      <c r="I822" s="3"/>
      <c r="J822" s="3"/>
      <c r="K822" s="6"/>
      <c r="L822" s="4"/>
      <c r="M822" s="4"/>
      <c r="N822" s="8"/>
      <c r="O822" s="8"/>
      <c r="P822" s="9"/>
      <c r="Q822" s="8"/>
      <c r="R822" s="8"/>
      <c r="S822" s="9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10"/>
    </row>
    <row r="823" spans="1:39" x14ac:dyDescent="0.2">
      <c r="A823" s="2" t="str">
        <f>IF($G823="","",IF(ISERROR(MATCH($N823,Lge_Scratch!$B:$B,0)),1,0))</f>
        <v/>
      </c>
      <c r="B823" s="2" t="str">
        <f>IF($G823="","",IF(AND(LEFT($Q823,8)="Non-aero",ISERROR(MATCH($N823,Lge_NonAero!$B:$B,0))),1,0))</f>
        <v/>
      </c>
      <c r="C823" s="5" t="str">
        <f>IF($G823="","",IF(AND(LEFT($O823,3)="Wom",ISERROR(MATCH($N823,Lge_Women!$B:$B,0))),1,0))</f>
        <v/>
      </c>
      <c r="D823" s="2" t="str">
        <f>IF($G823="","",IF(AND(OR($O823="Vet",$O823="Woman Vet"),ISERROR(MATCH($N823,Lge_Vets!$B:$B,0))),1,0))</f>
        <v/>
      </c>
      <c r="E823" s="2" t="str">
        <f>IF($G823="","",IF(AND(OR($O823="Junior",$O823="Woman Junior",$O823="Youth",$O823="Woman Youth"),ISERROR(MATCH($N823,Lge_Junior!$B:$B,0))),1,0))</f>
        <v/>
      </c>
      <c r="F823" s="2" t="str">
        <f>IF($G823="","",IF(AND(LEFT($O823,3)="You",ISERROR(MATCH($N823,Lge_Youth!$B:$B,0))),1,0))</f>
        <v/>
      </c>
      <c r="G823" s="3"/>
      <c r="H823" s="3"/>
      <c r="I823" s="3"/>
      <c r="J823" s="3"/>
      <c r="K823" s="6"/>
      <c r="L823" s="4"/>
      <c r="M823" s="4"/>
      <c r="N823" s="8"/>
      <c r="O823" s="8"/>
      <c r="P823" s="9"/>
      <c r="Q823" s="8"/>
      <c r="R823" s="8"/>
      <c r="S823" s="9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10"/>
    </row>
    <row r="824" spans="1:39" x14ac:dyDescent="0.2">
      <c r="A824" s="2" t="str">
        <f>IF($G824="","",IF(ISERROR(MATCH($N824,Lge_Scratch!$B:$B,0)),1,0))</f>
        <v/>
      </c>
      <c r="B824" s="2" t="str">
        <f>IF($G824="","",IF(AND(LEFT($Q824,8)="Non-aero",ISERROR(MATCH($N824,Lge_NonAero!$B:$B,0))),1,0))</f>
        <v/>
      </c>
      <c r="C824" s="5" t="str">
        <f>IF($G824="","",IF(AND(LEFT($O824,3)="Wom",ISERROR(MATCH($N824,Lge_Women!$B:$B,0))),1,0))</f>
        <v/>
      </c>
      <c r="D824" s="2" t="str">
        <f>IF($G824="","",IF(AND(OR($O824="Vet",$O824="Woman Vet"),ISERROR(MATCH($N824,Lge_Vets!$B:$B,0))),1,0))</f>
        <v/>
      </c>
      <c r="E824" s="2" t="str">
        <f>IF($G824="","",IF(AND(OR($O824="Junior",$O824="Woman Junior",$O824="Youth",$O824="Woman Youth"),ISERROR(MATCH($N824,Lge_Junior!$B:$B,0))),1,0))</f>
        <v/>
      </c>
      <c r="F824" s="2" t="str">
        <f>IF($G824="","",IF(AND(LEFT($O824,3)="You",ISERROR(MATCH($N824,Lge_Youth!$B:$B,0))),1,0))</f>
        <v/>
      </c>
      <c r="G824" s="3"/>
      <c r="H824" s="3"/>
      <c r="I824" s="3"/>
      <c r="J824" s="3"/>
      <c r="K824" s="6"/>
      <c r="L824" s="4"/>
      <c r="M824" s="4"/>
      <c r="N824" s="8"/>
      <c r="O824" s="8"/>
      <c r="P824" s="9"/>
      <c r="Q824" s="8"/>
      <c r="R824" s="8"/>
      <c r="S824" s="9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10"/>
    </row>
    <row r="825" spans="1:39" x14ac:dyDescent="0.2">
      <c r="A825" s="2" t="str">
        <f>IF($G825="","",IF(ISERROR(MATCH($N825,Lge_Scratch!$B:$B,0)),1,0))</f>
        <v/>
      </c>
      <c r="B825" s="2" t="str">
        <f>IF($G825="","",IF(AND(LEFT($Q825,8)="Non-aero",ISERROR(MATCH($N825,Lge_NonAero!$B:$B,0))),1,0))</f>
        <v/>
      </c>
      <c r="C825" s="5" t="str">
        <f>IF($G825="","",IF(AND(LEFT($O825,3)="Wom",ISERROR(MATCH($N825,Lge_Women!$B:$B,0))),1,0))</f>
        <v/>
      </c>
      <c r="D825" s="2" t="str">
        <f>IF($G825="","",IF(AND(OR($O825="Vet",$O825="Woman Vet"),ISERROR(MATCH($N825,Lge_Vets!$B:$B,0))),1,0))</f>
        <v/>
      </c>
      <c r="E825" s="2" t="str">
        <f>IF($G825="","",IF(AND(OR($O825="Junior",$O825="Woman Junior",$O825="Youth",$O825="Woman Youth"),ISERROR(MATCH($N825,Lge_Junior!$B:$B,0))),1,0))</f>
        <v/>
      </c>
      <c r="F825" s="2" t="str">
        <f>IF($G825="","",IF(AND(LEFT($O825,3)="You",ISERROR(MATCH($N825,Lge_Youth!$B:$B,0))),1,0))</f>
        <v/>
      </c>
      <c r="G825" s="3"/>
      <c r="H825" s="3"/>
      <c r="I825" s="3"/>
      <c r="J825" s="3"/>
      <c r="K825" s="6"/>
      <c r="L825" s="4"/>
      <c r="M825" s="4"/>
      <c r="N825" s="8"/>
      <c r="O825" s="8"/>
      <c r="P825" s="9"/>
      <c r="Q825" s="8"/>
      <c r="R825" s="8"/>
      <c r="S825" s="9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10"/>
    </row>
    <row r="826" spans="1:39" x14ac:dyDescent="0.2">
      <c r="A826" s="2" t="str">
        <f>IF($G826="","",IF(ISERROR(MATCH($N826,Lge_Scratch!$B:$B,0)),1,0))</f>
        <v/>
      </c>
      <c r="B826" s="2" t="str">
        <f>IF($G826="","",IF(AND(LEFT($Q826,8)="Non-aero",ISERROR(MATCH($N826,Lge_NonAero!$B:$B,0))),1,0))</f>
        <v/>
      </c>
      <c r="C826" s="5" t="str">
        <f>IF($G826="","",IF(AND(LEFT($O826,3)="Wom",ISERROR(MATCH($N826,Lge_Women!$B:$B,0))),1,0))</f>
        <v/>
      </c>
      <c r="D826" s="2" t="str">
        <f>IF($G826="","",IF(AND(OR($O826="Vet",$O826="Woman Vet"),ISERROR(MATCH($N826,Lge_Vets!$B:$B,0))),1,0))</f>
        <v/>
      </c>
      <c r="E826" s="2" t="str">
        <f>IF($G826="","",IF(AND(OR($O826="Junior",$O826="Woman Junior",$O826="Youth",$O826="Woman Youth"),ISERROR(MATCH($N826,Lge_Junior!$B:$B,0))),1,0))</f>
        <v/>
      </c>
      <c r="F826" s="2" t="str">
        <f>IF($G826="","",IF(AND(LEFT($O826,3)="You",ISERROR(MATCH($N826,Lge_Youth!$B:$B,0))),1,0))</f>
        <v/>
      </c>
      <c r="G826" s="3"/>
      <c r="H826" s="3"/>
      <c r="I826" s="3"/>
      <c r="J826" s="3"/>
      <c r="K826" s="6"/>
      <c r="L826" s="4"/>
      <c r="M826" s="4"/>
      <c r="N826" s="8"/>
      <c r="O826" s="8"/>
      <c r="P826" s="9"/>
      <c r="Q826" s="8"/>
      <c r="R826" s="8"/>
      <c r="S826" s="9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10"/>
    </row>
    <row r="827" spans="1:39" x14ac:dyDescent="0.2">
      <c r="A827" s="2" t="str">
        <f>IF($G827="","",IF(ISERROR(MATCH($N827,Lge_Scratch!$B:$B,0)),1,0))</f>
        <v/>
      </c>
      <c r="B827" s="2" t="str">
        <f>IF($G827="","",IF(AND(LEFT($Q827,8)="Non-aero",ISERROR(MATCH($N827,Lge_NonAero!$B:$B,0))),1,0))</f>
        <v/>
      </c>
      <c r="C827" s="5" t="str">
        <f>IF($G827="","",IF(AND(LEFT($O827,3)="Wom",ISERROR(MATCH($N827,Lge_Women!$B:$B,0))),1,0))</f>
        <v/>
      </c>
      <c r="D827" s="2" t="str">
        <f>IF($G827="","",IF(AND(OR($O827="Vet",$O827="Woman Vet"),ISERROR(MATCH($N827,Lge_Vets!$B:$B,0))),1,0))</f>
        <v/>
      </c>
      <c r="E827" s="2" t="str">
        <f>IF($G827="","",IF(AND(OR($O827="Junior",$O827="Woman Junior",$O827="Youth",$O827="Woman Youth"),ISERROR(MATCH($N827,Lge_Junior!$B:$B,0))),1,0))</f>
        <v/>
      </c>
      <c r="F827" s="2" t="str">
        <f>IF($G827="","",IF(AND(LEFT($O827,3)="You",ISERROR(MATCH($N827,Lge_Youth!$B:$B,0))),1,0))</f>
        <v/>
      </c>
      <c r="G827" s="3"/>
      <c r="H827" s="3"/>
      <c r="I827" s="3"/>
      <c r="J827" s="3"/>
      <c r="K827" s="6"/>
      <c r="L827" s="4"/>
      <c r="M827" s="4"/>
      <c r="N827" s="8"/>
      <c r="O827" s="8"/>
      <c r="P827" s="9"/>
      <c r="Q827" s="8"/>
      <c r="R827" s="8"/>
      <c r="S827" s="9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10"/>
    </row>
    <row r="828" spans="1:39" x14ac:dyDescent="0.2">
      <c r="A828" s="2" t="str">
        <f>IF($G828="","",IF(ISERROR(MATCH($N828,Lge_Scratch!$B:$B,0)),1,0))</f>
        <v/>
      </c>
      <c r="B828" s="2" t="str">
        <f>IF($G828="","",IF(AND(LEFT($Q828,8)="Non-aero",ISERROR(MATCH($N828,Lge_NonAero!$B:$B,0))),1,0))</f>
        <v/>
      </c>
      <c r="C828" s="5" t="str">
        <f>IF($G828="","",IF(AND(LEFT($O828,3)="Wom",ISERROR(MATCH($N828,Lge_Women!$B:$B,0))),1,0))</f>
        <v/>
      </c>
      <c r="D828" s="2" t="str">
        <f>IF($G828="","",IF(AND(OR($O828="Vet",$O828="Woman Vet"),ISERROR(MATCH($N828,Lge_Vets!$B:$B,0))),1,0))</f>
        <v/>
      </c>
      <c r="E828" s="2" t="str">
        <f>IF($G828="","",IF(AND(OR($O828="Junior",$O828="Woman Junior",$O828="Youth",$O828="Woman Youth"),ISERROR(MATCH($N828,Lge_Junior!$B:$B,0))),1,0))</f>
        <v/>
      </c>
      <c r="F828" s="2" t="str">
        <f>IF($G828="","",IF(AND(LEFT($O828,3)="You",ISERROR(MATCH($N828,Lge_Youth!$B:$B,0))),1,0))</f>
        <v/>
      </c>
      <c r="G828" s="3"/>
      <c r="H828" s="3"/>
      <c r="I828" s="3"/>
      <c r="J828" s="3"/>
      <c r="K828" s="6"/>
      <c r="L828" s="4"/>
      <c r="M828" s="4"/>
      <c r="N828" s="8"/>
      <c r="O828" s="8"/>
      <c r="P828" s="9"/>
      <c r="Q828" s="8"/>
      <c r="R828" s="8"/>
      <c r="S828" s="9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10"/>
    </row>
    <row r="829" spans="1:39" x14ac:dyDescent="0.2">
      <c r="A829" s="2" t="str">
        <f>IF($G829="","",IF(ISERROR(MATCH($N829,Lge_Scratch!$B:$B,0)),1,0))</f>
        <v/>
      </c>
      <c r="B829" s="2" t="str">
        <f>IF($G829="","",IF(AND(LEFT($Q829,8)="Non-aero",ISERROR(MATCH($N829,Lge_NonAero!$B:$B,0))),1,0))</f>
        <v/>
      </c>
      <c r="C829" s="5" t="str">
        <f>IF($G829="","",IF(AND(LEFT($O829,3)="Wom",ISERROR(MATCH($N829,Lge_Women!$B:$B,0))),1,0))</f>
        <v/>
      </c>
      <c r="D829" s="2" t="str">
        <f>IF($G829="","",IF(AND(OR($O829="Vet",$O829="Woman Vet"),ISERROR(MATCH($N829,Lge_Vets!$B:$B,0))),1,0))</f>
        <v/>
      </c>
      <c r="E829" s="2" t="str">
        <f>IF($G829="","",IF(AND(OR($O829="Junior",$O829="Woman Junior",$O829="Youth",$O829="Woman Youth"),ISERROR(MATCH($N829,Lge_Junior!$B:$B,0))),1,0))</f>
        <v/>
      </c>
      <c r="F829" s="2" t="str">
        <f>IF($G829="","",IF(AND(LEFT($O829,3)="You",ISERROR(MATCH($N829,Lge_Youth!$B:$B,0))),1,0))</f>
        <v/>
      </c>
      <c r="G829" s="3"/>
      <c r="H829" s="3"/>
      <c r="I829" s="3"/>
      <c r="J829" s="3"/>
      <c r="K829" s="6"/>
      <c r="L829" s="4"/>
      <c r="M829" s="4"/>
      <c r="N829" s="8"/>
      <c r="O829" s="8"/>
      <c r="P829" s="9"/>
      <c r="Q829" s="8"/>
      <c r="R829" s="8"/>
      <c r="S829" s="9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10"/>
    </row>
    <row r="830" spans="1:39" x14ac:dyDescent="0.2">
      <c r="A830" s="2" t="str">
        <f>IF($G830="","",IF(ISERROR(MATCH($N830,Lge_Scratch!$B:$B,0)),1,0))</f>
        <v/>
      </c>
      <c r="B830" s="2" t="str">
        <f>IF($G830="","",IF(AND(LEFT($Q830,8)="Non-aero",ISERROR(MATCH($N830,Lge_NonAero!$B:$B,0))),1,0))</f>
        <v/>
      </c>
      <c r="C830" s="5" t="str">
        <f>IF($G830="","",IF(AND(LEFT($O830,3)="Wom",ISERROR(MATCH($N830,Lge_Women!$B:$B,0))),1,0))</f>
        <v/>
      </c>
      <c r="D830" s="2" t="str">
        <f>IF($G830="","",IF(AND(OR($O830="Vet",$O830="Woman Vet"),ISERROR(MATCH($N830,Lge_Vets!$B:$B,0))),1,0))</f>
        <v/>
      </c>
      <c r="E830" s="2" t="str">
        <f>IF($G830="","",IF(AND(OR($O830="Junior",$O830="Woman Junior",$O830="Youth",$O830="Woman Youth"),ISERROR(MATCH($N830,Lge_Junior!$B:$B,0))),1,0))</f>
        <v/>
      </c>
      <c r="F830" s="2" t="str">
        <f>IF($G830="","",IF(AND(LEFT($O830,3)="You",ISERROR(MATCH($N830,Lge_Youth!$B:$B,0))),1,0))</f>
        <v/>
      </c>
      <c r="G830" s="3"/>
      <c r="H830" s="3"/>
      <c r="I830" s="3"/>
      <c r="J830" s="3"/>
      <c r="K830" s="6"/>
      <c r="L830" s="4"/>
      <c r="M830" s="4"/>
      <c r="N830" s="8"/>
      <c r="O830" s="8"/>
      <c r="P830" s="9"/>
      <c r="Q830" s="8"/>
      <c r="R830" s="8"/>
      <c r="S830" s="9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10"/>
    </row>
    <row r="831" spans="1:39" x14ac:dyDescent="0.2">
      <c r="A831" s="2" t="str">
        <f>IF($G831="","",IF(ISERROR(MATCH($N831,Lge_Scratch!$B:$B,0)),1,0))</f>
        <v/>
      </c>
      <c r="B831" s="2" t="str">
        <f>IF($G831="","",IF(AND(LEFT($Q831,8)="Non-aero",ISERROR(MATCH($N831,Lge_NonAero!$B:$B,0))),1,0))</f>
        <v/>
      </c>
      <c r="C831" s="5" t="str">
        <f>IF($G831="","",IF(AND(LEFT($O831,3)="Wom",ISERROR(MATCH($N831,Lge_Women!$B:$B,0))),1,0))</f>
        <v/>
      </c>
      <c r="D831" s="2" t="str">
        <f>IF($G831="","",IF(AND(OR($O831="Vet",$O831="Woman Vet"),ISERROR(MATCH($N831,Lge_Vets!$B:$B,0))),1,0))</f>
        <v/>
      </c>
      <c r="E831" s="2" t="str">
        <f>IF($G831="","",IF(AND(OR($O831="Junior",$O831="Woman Junior",$O831="Youth",$O831="Woman Youth"),ISERROR(MATCH($N831,Lge_Junior!$B:$B,0))),1,0))</f>
        <v/>
      </c>
      <c r="F831" s="2" t="str">
        <f>IF($G831="","",IF(AND(LEFT($O831,3)="You",ISERROR(MATCH($N831,Lge_Youth!$B:$B,0))),1,0))</f>
        <v/>
      </c>
      <c r="G831" s="3"/>
      <c r="H831" s="3"/>
      <c r="I831" s="3"/>
      <c r="J831" s="3"/>
      <c r="K831" s="6"/>
      <c r="L831" s="4"/>
      <c r="M831" s="4"/>
      <c r="N831" s="8"/>
      <c r="O831" s="8"/>
      <c r="P831" s="9"/>
      <c r="Q831" s="8"/>
      <c r="R831" s="8"/>
      <c r="S831" s="9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10"/>
    </row>
    <row r="832" spans="1:39" x14ac:dyDescent="0.2">
      <c r="A832" s="2" t="str">
        <f>IF($G832="","",IF(ISERROR(MATCH($N832,Lge_Scratch!$B:$B,0)),1,0))</f>
        <v/>
      </c>
      <c r="B832" s="2" t="str">
        <f>IF($G832="","",IF(AND(LEFT($Q832,8)="Non-aero",ISERROR(MATCH($N832,Lge_NonAero!$B:$B,0))),1,0))</f>
        <v/>
      </c>
      <c r="C832" s="5" t="str">
        <f>IF($G832="","",IF(AND(LEFT($O832,3)="Wom",ISERROR(MATCH($N832,Lge_Women!$B:$B,0))),1,0))</f>
        <v/>
      </c>
      <c r="D832" s="2" t="str">
        <f>IF($G832="","",IF(AND(OR($O832="Vet",$O832="Woman Vet"),ISERROR(MATCH($N832,Lge_Vets!$B:$B,0))),1,0))</f>
        <v/>
      </c>
      <c r="E832" s="2" t="str">
        <f>IF($G832="","",IF(AND(OR($O832="Junior",$O832="Woman Junior",$O832="Youth",$O832="Woman Youth"),ISERROR(MATCH($N832,Lge_Junior!$B:$B,0))),1,0))</f>
        <v/>
      </c>
      <c r="F832" s="2" t="str">
        <f>IF($G832="","",IF(AND(LEFT($O832,3)="You",ISERROR(MATCH($N832,Lge_Youth!$B:$B,0))),1,0))</f>
        <v/>
      </c>
      <c r="G832" s="3"/>
      <c r="H832" s="3"/>
      <c r="I832" s="3"/>
      <c r="J832" s="3"/>
      <c r="K832" s="6"/>
      <c r="L832" s="4"/>
      <c r="M832" s="4"/>
      <c r="N832" s="8"/>
      <c r="O832" s="8"/>
      <c r="P832" s="9"/>
      <c r="Q832" s="8"/>
      <c r="R832" s="8"/>
      <c r="S832" s="9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10"/>
    </row>
    <row r="833" spans="1:39" x14ac:dyDescent="0.2">
      <c r="A833" s="2" t="str">
        <f>IF($G833="","",IF(ISERROR(MATCH($N833,Lge_Scratch!$B:$B,0)),1,0))</f>
        <v/>
      </c>
      <c r="B833" s="2" t="str">
        <f>IF($G833="","",IF(AND(LEFT($Q833,8)="Non-aero",ISERROR(MATCH($N833,Lge_NonAero!$B:$B,0))),1,0))</f>
        <v/>
      </c>
      <c r="C833" s="5" t="str">
        <f>IF($G833="","",IF(AND(LEFT($O833,3)="Wom",ISERROR(MATCH($N833,Lge_Women!$B:$B,0))),1,0))</f>
        <v/>
      </c>
      <c r="D833" s="2" t="str">
        <f>IF($G833="","",IF(AND(OR($O833="Vet",$O833="Woman Vet"),ISERROR(MATCH($N833,Lge_Vets!$B:$B,0))),1,0))</f>
        <v/>
      </c>
      <c r="E833" s="2" t="str">
        <f>IF($G833="","",IF(AND(OR($O833="Junior",$O833="Woman Junior",$O833="Youth",$O833="Woman Youth"),ISERROR(MATCH($N833,Lge_Junior!$B:$B,0))),1,0))</f>
        <v/>
      </c>
      <c r="F833" s="2" t="str">
        <f>IF($G833="","",IF(AND(LEFT($O833,3)="You",ISERROR(MATCH($N833,Lge_Youth!$B:$B,0))),1,0))</f>
        <v/>
      </c>
      <c r="G833" s="3"/>
      <c r="H833" s="3"/>
      <c r="I833" s="3"/>
      <c r="J833" s="3"/>
      <c r="K833" s="6"/>
      <c r="L833" s="4"/>
      <c r="M833" s="4"/>
      <c r="N833" s="8"/>
      <c r="O833" s="8"/>
      <c r="P833" s="9"/>
      <c r="Q833" s="8"/>
      <c r="R833" s="8"/>
      <c r="S833" s="9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10"/>
    </row>
    <row r="834" spans="1:39" x14ac:dyDescent="0.2">
      <c r="A834" s="2" t="str">
        <f>IF($G834="","",IF(ISERROR(MATCH($N834,Lge_Scratch!$B:$B,0)),1,0))</f>
        <v/>
      </c>
      <c r="B834" s="2" t="str">
        <f>IF($G834="","",IF(AND(LEFT($Q834,8)="Non-aero",ISERROR(MATCH($N834,Lge_NonAero!$B:$B,0))),1,0))</f>
        <v/>
      </c>
      <c r="C834" s="5" t="str">
        <f>IF($G834="","",IF(AND(LEFT($O834,3)="Wom",ISERROR(MATCH($N834,Lge_Women!$B:$B,0))),1,0))</f>
        <v/>
      </c>
      <c r="D834" s="2" t="str">
        <f>IF($G834="","",IF(AND(OR($O834="Vet",$O834="Woman Vet"),ISERROR(MATCH($N834,Lge_Vets!$B:$B,0))),1,0))</f>
        <v/>
      </c>
      <c r="E834" s="2" t="str">
        <f>IF($G834="","",IF(AND(OR($O834="Junior",$O834="Woman Junior",$O834="Youth",$O834="Woman Youth"),ISERROR(MATCH($N834,Lge_Junior!$B:$B,0))),1,0))</f>
        <v/>
      </c>
      <c r="F834" s="2" t="str">
        <f>IF($G834="","",IF(AND(LEFT($O834,3)="You",ISERROR(MATCH($N834,Lge_Youth!$B:$B,0))),1,0))</f>
        <v/>
      </c>
      <c r="G834" s="3"/>
      <c r="H834" s="3"/>
      <c r="I834" s="3"/>
      <c r="J834" s="3"/>
      <c r="K834" s="6"/>
      <c r="L834" s="4"/>
      <c r="M834" s="4"/>
      <c r="N834" s="8"/>
      <c r="O834" s="8"/>
      <c r="P834" s="9"/>
      <c r="Q834" s="8"/>
      <c r="R834" s="8"/>
      <c r="S834" s="9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10"/>
    </row>
    <row r="835" spans="1:39" x14ac:dyDescent="0.2">
      <c r="A835" s="2" t="str">
        <f>IF($G835="","",IF(ISERROR(MATCH($N835,Lge_Scratch!$B:$B,0)),1,0))</f>
        <v/>
      </c>
      <c r="B835" s="2" t="str">
        <f>IF($G835="","",IF(AND(LEFT($Q835,8)="Non-aero",ISERROR(MATCH($N835,Lge_NonAero!$B:$B,0))),1,0))</f>
        <v/>
      </c>
      <c r="C835" s="5" t="str">
        <f>IF($G835="","",IF(AND(LEFT($O835,3)="Wom",ISERROR(MATCH($N835,Lge_Women!$B:$B,0))),1,0))</f>
        <v/>
      </c>
      <c r="D835" s="2" t="str">
        <f>IF($G835="","",IF(AND(OR($O835="Vet",$O835="Woman Vet"),ISERROR(MATCH($N835,Lge_Vets!$B:$B,0))),1,0))</f>
        <v/>
      </c>
      <c r="E835" s="2" t="str">
        <f>IF($G835="","",IF(AND(OR($O835="Junior",$O835="Woman Junior",$O835="Youth",$O835="Woman Youth"),ISERROR(MATCH($N835,Lge_Junior!$B:$B,0))),1,0))</f>
        <v/>
      </c>
      <c r="F835" s="2" t="str">
        <f>IF($G835="","",IF(AND(LEFT($O835,3)="You",ISERROR(MATCH($N835,Lge_Youth!$B:$B,0))),1,0))</f>
        <v/>
      </c>
      <c r="G835" s="3"/>
      <c r="H835" s="3"/>
      <c r="I835" s="3"/>
      <c r="J835" s="3"/>
      <c r="K835" s="6"/>
      <c r="L835" s="4"/>
      <c r="M835" s="4"/>
      <c r="N835" s="8"/>
      <c r="O835" s="8"/>
      <c r="P835" s="9"/>
      <c r="Q835" s="8"/>
      <c r="R835" s="8"/>
      <c r="S835" s="9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10"/>
    </row>
    <row r="836" spans="1:39" x14ac:dyDescent="0.2">
      <c r="A836" s="2" t="str">
        <f>IF($G836="","",IF(ISERROR(MATCH($N836,Lge_Scratch!$B:$B,0)),1,0))</f>
        <v/>
      </c>
      <c r="B836" s="2" t="str">
        <f>IF($G836="","",IF(AND(LEFT($Q836,8)="Non-aero",ISERROR(MATCH($N836,Lge_NonAero!$B:$B,0))),1,0))</f>
        <v/>
      </c>
      <c r="C836" s="5" t="str">
        <f>IF($G836="","",IF(AND(LEFT($O836,3)="Wom",ISERROR(MATCH($N836,Lge_Women!$B:$B,0))),1,0))</f>
        <v/>
      </c>
      <c r="D836" s="2" t="str">
        <f>IF($G836="","",IF(AND(OR($O836="Vet",$O836="Woman Vet"),ISERROR(MATCH($N836,Lge_Vets!$B:$B,0))),1,0))</f>
        <v/>
      </c>
      <c r="E836" s="2" t="str">
        <f>IF($G836="","",IF(AND(OR($O836="Junior",$O836="Woman Junior",$O836="Youth",$O836="Woman Youth"),ISERROR(MATCH($N836,Lge_Junior!$B:$B,0))),1,0))</f>
        <v/>
      </c>
      <c r="F836" s="2" t="str">
        <f>IF($G836="","",IF(AND(LEFT($O836,3)="You",ISERROR(MATCH($N836,Lge_Youth!$B:$B,0))),1,0))</f>
        <v/>
      </c>
      <c r="G836" s="3"/>
      <c r="H836" s="3"/>
      <c r="I836" s="3"/>
      <c r="J836" s="3"/>
      <c r="K836" s="6"/>
      <c r="L836" s="4"/>
      <c r="M836" s="4"/>
      <c r="N836" s="8"/>
      <c r="O836" s="8"/>
      <c r="P836" s="9"/>
      <c r="Q836" s="8"/>
      <c r="R836" s="8"/>
      <c r="S836" s="9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10"/>
    </row>
    <row r="837" spans="1:39" x14ac:dyDescent="0.2">
      <c r="A837" s="2" t="str">
        <f>IF($G837="","",IF(ISERROR(MATCH($N837,Lge_Scratch!$B:$B,0)),1,0))</f>
        <v/>
      </c>
      <c r="B837" s="2" t="str">
        <f>IF($G837="","",IF(AND(LEFT($Q837,8)="Non-aero",ISERROR(MATCH($N837,Lge_NonAero!$B:$B,0))),1,0))</f>
        <v/>
      </c>
      <c r="C837" s="5" t="str">
        <f>IF($G837="","",IF(AND(LEFT($O837,3)="Wom",ISERROR(MATCH($N837,Lge_Women!$B:$B,0))),1,0))</f>
        <v/>
      </c>
      <c r="D837" s="2" t="str">
        <f>IF($G837="","",IF(AND(OR($O837="Vet",$O837="Woman Vet"),ISERROR(MATCH($N837,Lge_Vets!$B:$B,0))),1,0))</f>
        <v/>
      </c>
      <c r="E837" s="2" t="str">
        <f>IF($G837="","",IF(AND(OR($O837="Junior",$O837="Woman Junior",$O837="Youth",$O837="Woman Youth"),ISERROR(MATCH($N837,Lge_Junior!$B:$B,0))),1,0))</f>
        <v/>
      </c>
      <c r="F837" s="2" t="str">
        <f>IF($G837="","",IF(AND(LEFT($O837,3)="You",ISERROR(MATCH($N837,Lge_Youth!$B:$B,0))),1,0))</f>
        <v/>
      </c>
      <c r="G837" s="3"/>
      <c r="H837" s="3"/>
      <c r="I837" s="3"/>
      <c r="J837" s="3"/>
      <c r="K837" s="6"/>
      <c r="L837" s="4"/>
      <c r="M837" s="4"/>
      <c r="N837" s="8"/>
      <c r="O837" s="8"/>
      <c r="P837" s="9"/>
      <c r="Q837" s="8"/>
      <c r="R837" s="8"/>
      <c r="S837" s="9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10"/>
    </row>
    <row r="838" spans="1:39" x14ac:dyDescent="0.2">
      <c r="A838" s="2" t="str">
        <f>IF($G838="","",IF(ISERROR(MATCH($N838,Lge_Scratch!$B:$B,0)),1,0))</f>
        <v/>
      </c>
      <c r="B838" s="2" t="str">
        <f>IF($G838="","",IF(AND(LEFT($Q838,8)="Non-aero",ISERROR(MATCH($N838,Lge_NonAero!$B:$B,0))),1,0))</f>
        <v/>
      </c>
      <c r="C838" s="5" t="str">
        <f>IF($G838="","",IF(AND(LEFT($O838,3)="Wom",ISERROR(MATCH($N838,Lge_Women!$B:$B,0))),1,0))</f>
        <v/>
      </c>
      <c r="D838" s="2" t="str">
        <f>IF($G838="","",IF(AND(OR($O838="Vet",$O838="Woman Vet"),ISERROR(MATCH($N838,Lge_Vets!$B:$B,0))),1,0))</f>
        <v/>
      </c>
      <c r="E838" s="2" t="str">
        <f>IF($G838="","",IF(AND(OR($O838="Junior",$O838="Woman Junior",$O838="Youth",$O838="Woman Youth"),ISERROR(MATCH($N838,Lge_Junior!$B:$B,0))),1,0))</f>
        <v/>
      </c>
      <c r="F838" s="2" t="str">
        <f>IF($G838="","",IF(AND(LEFT($O838,3)="You",ISERROR(MATCH($N838,Lge_Youth!$B:$B,0))),1,0))</f>
        <v/>
      </c>
      <c r="G838" s="3"/>
      <c r="H838" s="3"/>
      <c r="I838" s="3"/>
      <c r="J838" s="3"/>
      <c r="K838" s="6"/>
      <c r="L838" s="4"/>
      <c r="M838" s="4"/>
      <c r="N838" s="8"/>
      <c r="O838" s="8"/>
      <c r="P838" s="9"/>
      <c r="Q838" s="8"/>
      <c r="R838" s="8"/>
      <c r="S838" s="9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10"/>
    </row>
    <row r="839" spans="1:39" x14ac:dyDescent="0.2">
      <c r="A839" s="2" t="str">
        <f>IF($G839="","",IF(ISERROR(MATCH($N839,Lge_Scratch!$B:$B,0)),1,0))</f>
        <v/>
      </c>
      <c r="B839" s="2" t="str">
        <f>IF($G839="","",IF(AND(LEFT($Q839,8)="Non-aero",ISERROR(MATCH($N839,Lge_NonAero!$B:$B,0))),1,0))</f>
        <v/>
      </c>
      <c r="C839" s="5" t="str">
        <f>IF($G839="","",IF(AND(LEFT($O839,3)="Wom",ISERROR(MATCH($N839,Lge_Women!$B:$B,0))),1,0))</f>
        <v/>
      </c>
      <c r="D839" s="2" t="str">
        <f>IF($G839="","",IF(AND(OR($O839="Vet",$O839="Woman Vet"),ISERROR(MATCH($N839,Lge_Vets!$B:$B,0))),1,0))</f>
        <v/>
      </c>
      <c r="E839" s="2" t="str">
        <f>IF($G839="","",IF(AND(OR($O839="Junior",$O839="Woman Junior",$O839="Youth",$O839="Woman Youth"),ISERROR(MATCH($N839,Lge_Junior!$B:$B,0))),1,0))</f>
        <v/>
      </c>
      <c r="F839" s="2" t="str">
        <f>IF($G839="","",IF(AND(LEFT($O839,3)="You",ISERROR(MATCH($N839,Lge_Youth!$B:$B,0))),1,0))</f>
        <v/>
      </c>
      <c r="G839" s="3"/>
      <c r="H839" s="3"/>
      <c r="I839" s="3"/>
      <c r="J839" s="3"/>
      <c r="K839" s="6"/>
      <c r="L839" s="4"/>
      <c r="M839" s="4"/>
      <c r="N839" s="8"/>
      <c r="O839" s="8"/>
      <c r="P839" s="9"/>
      <c r="Q839" s="8"/>
      <c r="R839" s="8"/>
      <c r="S839" s="9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10"/>
    </row>
    <row r="840" spans="1:39" x14ac:dyDescent="0.2">
      <c r="A840" s="2" t="str">
        <f>IF($G840="","",IF(ISERROR(MATCH($N840,Lge_Scratch!$B:$B,0)),1,0))</f>
        <v/>
      </c>
      <c r="B840" s="2" t="str">
        <f>IF($G840="","",IF(AND(LEFT($Q840,8)="Non-aero",ISERROR(MATCH($N840,Lge_NonAero!$B:$B,0))),1,0))</f>
        <v/>
      </c>
      <c r="C840" s="5" t="str">
        <f>IF($G840="","",IF(AND(LEFT($O840,3)="Wom",ISERROR(MATCH($N840,Lge_Women!$B:$B,0))),1,0))</f>
        <v/>
      </c>
      <c r="D840" s="2" t="str">
        <f>IF($G840="","",IF(AND(OR($O840="Vet",$O840="Woman Vet"),ISERROR(MATCH($N840,Lge_Vets!$B:$B,0))),1,0))</f>
        <v/>
      </c>
      <c r="E840" s="2" t="str">
        <f>IF($G840="","",IF(AND(OR($O840="Junior",$O840="Woman Junior",$O840="Youth",$O840="Woman Youth"),ISERROR(MATCH($N840,Lge_Junior!$B:$B,0))),1,0))</f>
        <v/>
      </c>
      <c r="F840" s="2" t="str">
        <f>IF($G840="","",IF(AND(LEFT($O840,3)="You",ISERROR(MATCH($N840,Lge_Youth!$B:$B,0))),1,0))</f>
        <v/>
      </c>
      <c r="G840" s="3"/>
      <c r="H840" s="3"/>
      <c r="I840" s="3"/>
      <c r="J840" s="3"/>
      <c r="K840" s="6"/>
      <c r="L840" s="4"/>
      <c r="M840" s="4"/>
      <c r="N840" s="8"/>
      <c r="O840" s="8"/>
      <c r="P840" s="9"/>
      <c r="Q840" s="8"/>
      <c r="R840" s="8"/>
      <c r="S840" s="9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10"/>
    </row>
    <row r="841" spans="1:39" x14ac:dyDescent="0.2">
      <c r="A841" s="2" t="str">
        <f>IF($G841="","",IF(ISERROR(MATCH($N841,Lge_Scratch!$B:$B,0)),1,0))</f>
        <v/>
      </c>
      <c r="B841" s="2" t="str">
        <f>IF($G841="","",IF(AND(LEFT($Q841,8)="Non-aero",ISERROR(MATCH($N841,Lge_NonAero!$B:$B,0))),1,0))</f>
        <v/>
      </c>
      <c r="C841" s="5" t="str">
        <f>IF($G841="","",IF(AND(LEFT($O841,3)="Wom",ISERROR(MATCH($N841,Lge_Women!$B:$B,0))),1,0))</f>
        <v/>
      </c>
      <c r="D841" s="2" t="str">
        <f>IF($G841="","",IF(AND(OR($O841="Vet",$O841="Woman Vet"),ISERROR(MATCH($N841,Lge_Vets!$B:$B,0))),1,0))</f>
        <v/>
      </c>
      <c r="E841" s="2" t="str">
        <f>IF($G841="","",IF(AND(OR($O841="Junior",$O841="Woman Junior",$O841="Youth",$O841="Woman Youth"),ISERROR(MATCH($N841,Lge_Junior!$B:$B,0))),1,0))</f>
        <v/>
      </c>
      <c r="F841" s="2" t="str">
        <f>IF($G841="","",IF(AND(LEFT($O841,3)="You",ISERROR(MATCH($N841,Lge_Youth!$B:$B,0))),1,0))</f>
        <v/>
      </c>
      <c r="G841" s="3"/>
      <c r="H841" s="3"/>
      <c r="I841" s="3"/>
      <c r="J841" s="3"/>
      <c r="K841" s="6"/>
      <c r="L841" s="4"/>
      <c r="M841" s="4"/>
      <c r="N841" s="8"/>
      <c r="O841" s="8"/>
      <c r="P841" s="9"/>
      <c r="Q841" s="8"/>
      <c r="R841" s="8"/>
      <c r="S841" s="9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10"/>
    </row>
    <row r="842" spans="1:39" x14ac:dyDescent="0.2">
      <c r="A842" s="2" t="str">
        <f>IF($G842="","",IF(ISERROR(MATCH($N842,Lge_Scratch!$B:$B,0)),1,0))</f>
        <v/>
      </c>
      <c r="B842" s="2" t="str">
        <f>IF($G842="","",IF(AND(LEFT($Q842,8)="Non-aero",ISERROR(MATCH($N842,Lge_NonAero!$B:$B,0))),1,0))</f>
        <v/>
      </c>
      <c r="C842" s="5" t="str">
        <f>IF($G842="","",IF(AND(LEFT($O842,3)="Wom",ISERROR(MATCH($N842,Lge_Women!$B:$B,0))),1,0))</f>
        <v/>
      </c>
      <c r="D842" s="2" t="str">
        <f>IF($G842="","",IF(AND(OR($O842="Vet",$O842="Woman Vet"),ISERROR(MATCH($N842,Lge_Vets!$B:$B,0))),1,0))</f>
        <v/>
      </c>
      <c r="E842" s="2" t="str">
        <f>IF($G842="","",IF(AND(OR($O842="Junior",$O842="Woman Junior",$O842="Youth",$O842="Woman Youth"),ISERROR(MATCH($N842,Lge_Junior!$B:$B,0))),1,0))</f>
        <v/>
      </c>
      <c r="F842" s="2" t="str">
        <f>IF($G842="","",IF(AND(LEFT($O842,3)="You",ISERROR(MATCH($N842,Lge_Youth!$B:$B,0))),1,0))</f>
        <v/>
      </c>
      <c r="G842" s="3"/>
      <c r="H842" s="3"/>
      <c r="I842" s="3"/>
      <c r="J842" s="3"/>
      <c r="K842" s="6"/>
      <c r="L842" s="4"/>
      <c r="M842" s="4"/>
      <c r="N842" s="8"/>
      <c r="O842" s="8"/>
      <c r="P842" s="9"/>
      <c r="Q842" s="8"/>
      <c r="R842" s="8"/>
      <c r="S842" s="9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10"/>
    </row>
    <row r="843" spans="1:39" x14ac:dyDescent="0.2">
      <c r="A843" s="2" t="str">
        <f>IF($G843="","",IF(ISERROR(MATCH($N843,Lge_Scratch!$B:$B,0)),1,0))</f>
        <v/>
      </c>
      <c r="B843" s="2" t="str">
        <f>IF($G843="","",IF(AND(LEFT($Q843,8)="Non-aero",ISERROR(MATCH($N843,Lge_NonAero!$B:$B,0))),1,0))</f>
        <v/>
      </c>
      <c r="C843" s="5" t="str">
        <f>IF($G843="","",IF(AND(LEFT($O843,3)="Wom",ISERROR(MATCH($N843,Lge_Women!$B:$B,0))),1,0))</f>
        <v/>
      </c>
      <c r="D843" s="2" t="str">
        <f>IF($G843="","",IF(AND(OR($O843="Vet",$O843="Woman Vet"),ISERROR(MATCH($N843,Lge_Vets!$B:$B,0))),1,0))</f>
        <v/>
      </c>
      <c r="E843" s="2" t="str">
        <f>IF($G843="","",IF(AND(OR($O843="Junior",$O843="Woman Junior",$O843="Youth",$O843="Woman Youth"),ISERROR(MATCH($N843,Lge_Junior!$B:$B,0))),1,0))</f>
        <v/>
      </c>
      <c r="F843" s="2" t="str">
        <f>IF($G843="","",IF(AND(LEFT($O843,3)="You",ISERROR(MATCH($N843,Lge_Youth!$B:$B,0))),1,0))</f>
        <v/>
      </c>
      <c r="G843" s="3"/>
      <c r="H843" s="3"/>
      <c r="I843" s="3"/>
      <c r="J843" s="3"/>
      <c r="K843" s="6"/>
      <c r="L843" s="4"/>
      <c r="M843" s="4"/>
      <c r="N843" s="8"/>
      <c r="O843" s="8"/>
      <c r="P843" s="9"/>
      <c r="Q843" s="8"/>
      <c r="R843" s="8"/>
      <c r="S843" s="9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10"/>
    </row>
    <row r="844" spans="1:39" x14ac:dyDescent="0.2">
      <c r="A844" s="2" t="str">
        <f>IF($G844="","",IF(ISERROR(MATCH($N844,Lge_Scratch!$B:$B,0)),1,0))</f>
        <v/>
      </c>
      <c r="B844" s="2" t="str">
        <f>IF($G844="","",IF(AND(LEFT($Q844,8)="Non-aero",ISERROR(MATCH($N844,Lge_NonAero!$B:$B,0))),1,0))</f>
        <v/>
      </c>
      <c r="C844" s="5" t="str">
        <f>IF($G844="","",IF(AND(LEFT($O844,3)="Wom",ISERROR(MATCH($N844,Lge_Women!$B:$B,0))),1,0))</f>
        <v/>
      </c>
      <c r="D844" s="2" t="str">
        <f>IF($G844="","",IF(AND(OR($O844="Vet",$O844="Woman Vet"),ISERROR(MATCH($N844,Lge_Vets!$B:$B,0))),1,0))</f>
        <v/>
      </c>
      <c r="E844" s="2" t="str">
        <f>IF($G844="","",IF(AND(OR($O844="Junior",$O844="Woman Junior",$O844="Youth",$O844="Woman Youth"),ISERROR(MATCH($N844,Lge_Junior!$B:$B,0))),1,0))</f>
        <v/>
      </c>
      <c r="F844" s="2" t="str">
        <f>IF($G844="","",IF(AND(LEFT($O844,3)="You",ISERROR(MATCH($N844,Lge_Youth!$B:$B,0))),1,0))</f>
        <v/>
      </c>
      <c r="G844" s="3"/>
      <c r="H844" s="3"/>
      <c r="I844" s="3"/>
      <c r="J844" s="3"/>
      <c r="K844" s="6"/>
      <c r="L844" s="4"/>
      <c r="M844" s="4"/>
      <c r="N844" s="8"/>
      <c r="O844" s="8"/>
      <c r="P844" s="9"/>
      <c r="Q844" s="8"/>
      <c r="R844" s="8"/>
      <c r="S844" s="9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10"/>
    </row>
    <row r="845" spans="1:39" x14ac:dyDescent="0.2">
      <c r="A845" s="2" t="str">
        <f>IF($G845="","",IF(ISERROR(MATCH($N845,Lge_Scratch!$B:$B,0)),1,0))</f>
        <v/>
      </c>
      <c r="B845" s="2" t="str">
        <f>IF($G845="","",IF(AND(LEFT($Q845,8)="Non-aero",ISERROR(MATCH($N845,Lge_NonAero!$B:$B,0))),1,0))</f>
        <v/>
      </c>
      <c r="C845" s="5" t="str">
        <f>IF($G845="","",IF(AND(LEFT($O845,3)="Wom",ISERROR(MATCH($N845,Lge_Women!$B:$B,0))),1,0))</f>
        <v/>
      </c>
      <c r="D845" s="2" t="str">
        <f>IF($G845="","",IF(AND(OR($O845="Vet",$O845="Woman Vet"),ISERROR(MATCH($N845,Lge_Vets!$B:$B,0))),1,0))</f>
        <v/>
      </c>
      <c r="E845" s="2" t="str">
        <f>IF($G845="","",IF(AND(OR($O845="Junior",$O845="Woman Junior",$O845="Youth",$O845="Woman Youth"),ISERROR(MATCH($N845,Lge_Junior!$B:$B,0))),1,0))</f>
        <v/>
      </c>
      <c r="F845" s="2" t="str">
        <f>IF($G845="","",IF(AND(LEFT($O845,3)="You",ISERROR(MATCH($N845,Lge_Youth!$B:$B,0))),1,0))</f>
        <v/>
      </c>
      <c r="G845" s="3"/>
      <c r="H845" s="3"/>
      <c r="I845" s="3"/>
      <c r="J845" s="3"/>
      <c r="K845" s="6"/>
      <c r="L845" s="4"/>
      <c r="M845" s="4"/>
      <c r="N845" s="8"/>
      <c r="O845" s="8"/>
      <c r="P845" s="9"/>
      <c r="Q845" s="8"/>
      <c r="R845" s="8"/>
      <c r="S845" s="9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10"/>
    </row>
    <row r="846" spans="1:39" x14ac:dyDescent="0.2">
      <c r="A846" s="2" t="str">
        <f>IF($G846="","",IF(ISERROR(MATCH($N846,Lge_Scratch!$B:$B,0)),1,0))</f>
        <v/>
      </c>
      <c r="B846" s="2" t="str">
        <f>IF($G846="","",IF(AND(LEFT($Q846,8)="Non-aero",ISERROR(MATCH($N846,Lge_NonAero!$B:$B,0))),1,0))</f>
        <v/>
      </c>
      <c r="C846" s="5" t="str">
        <f>IF($G846="","",IF(AND(LEFT($O846,3)="Wom",ISERROR(MATCH($N846,Lge_Women!$B:$B,0))),1,0))</f>
        <v/>
      </c>
      <c r="D846" s="2" t="str">
        <f>IF($G846="","",IF(AND(OR($O846="Vet",$O846="Woman Vet"),ISERROR(MATCH($N846,Lge_Vets!$B:$B,0))),1,0))</f>
        <v/>
      </c>
      <c r="E846" s="2" t="str">
        <f>IF($G846="","",IF(AND(OR($O846="Junior",$O846="Woman Junior",$O846="Youth",$O846="Woman Youth"),ISERROR(MATCH($N846,Lge_Junior!$B:$B,0))),1,0))</f>
        <v/>
      </c>
      <c r="F846" s="2" t="str">
        <f>IF($G846="","",IF(AND(LEFT($O846,3)="You",ISERROR(MATCH($N846,Lge_Youth!$B:$B,0))),1,0))</f>
        <v/>
      </c>
      <c r="G846" s="3"/>
      <c r="H846" s="3"/>
      <c r="I846" s="3"/>
      <c r="J846" s="3"/>
      <c r="K846" s="6"/>
      <c r="L846" s="4"/>
      <c r="M846" s="4"/>
      <c r="N846" s="8"/>
      <c r="O846" s="8"/>
      <c r="P846" s="9"/>
      <c r="Q846" s="8"/>
      <c r="R846" s="8"/>
      <c r="S846" s="9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10"/>
    </row>
    <row r="847" spans="1:39" x14ac:dyDescent="0.2">
      <c r="A847" s="2" t="str">
        <f>IF($G847="","",IF(ISERROR(MATCH($N847,Lge_Scratch!$B:$B,0)),1,0))</f>
        <v/>
      </c>
      <c r="B847" s="2" t="str">
        <f>IF($G847="","",IF(AND(LEFT($Q847,8)="Non-aero",ISERROR(MATCH($N847,Lge_NonAero!$B:$B,0))),1,0))</f>
        <v/>
      </c>
      <c r="C847" s="5" t="str">
        <f>IF($G847="","",IF(AND(LEFT($O847,3)="Wom",ISERROR(MATCH($N847,Lge_Women!$B:$B,0))),1,0))</f>
        <v/>
      </c>
      <c r="D847" s="2" t="str">
        <f>IF($G847="","",IF(AND(OR($O847="Vet",$O847="Woman Vet"),ISERROR(MATCH($N847,Lge_Vets!$B:$B,0))),1,0))</f>
        <v/>
      </c>
      <c r="E847" s="2" t="str">
        <f>IF($G847="","",IF(AND(OR($O847="Junior",$O847="Woman Junior",$O847="Youth",$O847="Woman Youth"),ISERROR(MATCH($N847,Lge_Junior!$B:$B,0))),1,0))</f>
        <v/>
      </c>
      <c r="F847" s="2" t="str">
        <f>IF($G847="","",IF(AND(LEFT($O847,3)="You",ISERROR(MATCH($N847,Lge_Youth!$B:$B,0))),1,0))</f>
        <v/>
      </c>
      <c r="G847" s="3"/>
      <c r="H847" s="3"/>
      <c r="I847" s="3"/>
      <c r="J847" s="3"/>
      <c r="K847" s="6"/>
      <c r="L847" s="4"/>
      <c r="M847" s="4"/>
      <c r="N847" s="8"/>
      <c r="O847" s="8"/>
      <c r="P847" s="9"/>
      <c r="Q847" s="8"/>
      <c r="R847" s="8"/>
      <c r="S847" s="9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10"/>
    </row>
    <row r="848" spans="1:39" x14ac:dyDescent="0.2">
      <c r="A848" s="2" t="str">
        <f>IF($G848="","",IF(ISERROR(MATCH($N848,Lge_Scratch!$B:$B,0)),1,0))</f>
        <v/>
      </c>
      <c r="B848" s="2" t="str">
        <f>IF($G848="","",IF(AND(LEFT($Q848,8)="Non-aero",ISERROR(MATCH($N848,Lge_NonAero!$B:$B,0))),1,0))</f>
        <v/>
      </c>
      <c r="C848" s="5" t="str">
        <f>IF($G848="","",IF(AND(LEFT($O848,3)="Wom",ISERROR(MATCH($N848,Lge_Women!$B:$B,0))),1,0))</f>
        <v/>
      </c>
      <c r="D848" s="2" t="str">
        <f>IF($G848="","",IF(AND(OR($O848="Vet",$O848="Woman Vet"),ISERROR(MATCH($N848,Lge_Vets!$B:$B,0))),1,0))</f>
        <v/>
      </c>
      <c r="E848" s="2" t="str">
        <f>IF($G848="","",IF(AND(OR($O848="Junior",$O848="Woman Junior",$O848="Youth",$O848="Woman Youth"),ISERROR(MATCH($N848,Lge_Junior!$B:$B,0))),1,0))</f>
        <v/>
      </c>
      <c r="F848" s="2" t="str">
        <f>IF($G848="","",IF(AND(LEFT($O848,3)="You",ISERROR(MATCH($N848,Lge_Youth!$B:$B,0))),1,0))</f>
        <v/>
      </c>
      <c r="G848" s="3"/>
      <c r="H848" s="3"/>
      <c r="I848" s="3"/>
      <c r="J848" s="3"/>
      <c r="K848" s="6"/>
      <c r="L848" s="4"/>
      <c r="M848" s="4"/>
      <c r="N848" s="8"/>
      <c r="O848" s="8"/>
      <c r="P848" s="9"/>
      <c r="Q848" s="8"/>
      <c r="R848" s="8"/>
      <c r="S848" s="9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10"/>
    </row>
    <row r="849" spans="1:39" x14ac:dyDescent="0.2">
      <c r="A849" s="2" t="str">
        <f>IF($G849="","",IF(ISERROR(MATCH($N849,Lge_Scratch!$B:$B,0)),1,0))</f>
        <v/>
      </c>
      <c r="B849" s="2" t="str">
        <f>IF($G849="","",IF(AND(LEFT($Q849,8)="Non-aero",ISERROR(MATCH($N849,Lge_NonAero!$B:$B,0))),1,0))</f>
        <v/>
      </c>
      <c r="C849" s="5" t="str">
        <f>IF($G849="","",IF(AND(LEFT($O849,3)="Wom",ISERROR(MATCH($N849,Lge_Women!$B:$B,0))),1,0))</f>
        <v/>
      </c>
      <c r="D849" s="2" t="str">
        <f>IF($G849="","",IF(AND(OR($O849="Vet",$O849="Woman Vet"),ISERROR(MATCH($N849,Lge_Vets!$B:$B,0))),1,0))</f>
        <v/>
      </c>
      <c r="E849" s="2" t="str">
        <f>IF($G849="","",IF(AND(OR($O849="Junior",$O849="Woman Junior",$O849="Youth",$O849="Woman Youth"),ISERROR(MATCH($N849,Lge_Junior!$B:$B,0))),1,0))</f>
        <v/>
      </c>
      <c r="F849" s="2" t="str">
        <f>IF($G849="","",IF(AND(LEFT($O849,3)="You",ISERROR(MATCH($N849,Lge_Youth!$B:$B,0))),1,0))</f>
        <v/>
      </c>
      <c r="G849" s="3"/>
      <c r="H849" s="3"/>
      <c r="I849" s="3"/>
      <c r="J849" s="3"/>
      <c r="K849" s="6"/>
      <c r="L849" s="4"/>
      <c r="M849" s="4"/>
      <c r="N849" s="8"/>
      <c r="O849" s="8"/>
      <c r="P849" s="9"/>
      <c r="Q849" s="8"/>
      <c r="R849" s="8"/>
      <c r="S849" s="9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10"/>
    </row>
    <row r="850" spans="1:39" x14ac:dyDescent="0.2">
      <c r="A850" s="2" t="str">
        <f>IF($G850="","",IF(ISERROR(MATCH($N850,Lge_Scratch!$B:$B,0)),1,0))</f>
        <v/>
      </c>
      <c r="B850" s="2" t="str">
        <f>IF($G850="","",IF(AND(LEFT($Q850,8)="Non-aero",ISERROR(MATCH($N850,Lge_NonAero!$B:$B,0))),1,0))</f>
        <v/>
      </c>
      <c r="C850" s="5" t="str">
        <f>IF($G850="","",IF(AND(LEFT($O850,3)="Wom",ISERROR(MATCH($N850,Lge_Women!$B:$B,0))),1,0))</f>
        <v/>
      </c>
      <c r="D850" s="2" t="str">
        <f>IF($G850="","",IF(AND(OR($O850="Vet",$O850="Woman Vet"),ISERROR(MATCH($N850,Lge_Vets!$B:$B,0))),1,0))</f>
        <v/>
      </c>
      <c r="E850" s="2" t="str">
        <f>IF($G850="","",IF(AND(OR($O850="Junior",$O850="Woman Junior",$O850="Youth",$O850="Woman Youth"),ISERROR(MATCH($N850,Lge_Junior!$B:$B,0))),1,0))</f>
        <v/>
      </c>
      <c r="F850" s="2" t="str">
        <f>IF($G850="","",IF(AND(LEFT($O850,3)="You",ISERROR(MATCH($N850,Lge_Youth!$B:$B,0))),1,0))</f>
        <v/>
      </c>
      <c r="G850" s="3"/>
      <c r="H850" s="3"/>
      <c r="I850" s="3"/>
      <c r="J850" s="3"/>
      <c r="K850" s="6"/>
      <c r="L850" s="4"/>
      <c r="M850" s="4"/>
      <c r="N850" s="8"/>
      <c r="O850" s="8"/>
      <c r="P850" s="9"/>
      <c r="Q850" s="8"/>
      <c r="R850" s="8"/>
      <c r="S850" s="9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10"/>
    </row>
    <row r="851" spans="1:39" x14ac:dyDescent="0.2">
      <c r="A851" s="2" t="str">
        <f>IF($G851="","",IF(ISERROR(MATCH($N851,Lge_Scratch!$B:$B,0)),1,0))</f>
        <v/>
      </c>
      <c r="B851" s="2" t="str">
        <f>IF($G851="","",IF(AND(LEFT($Q851,8)="Non-aero",ISERROR(MATCH($N851,Lge_NonAero!$B:$B,0))),1,0))</f>
        <v/>
      </c>
      <c r="C851" s="5" t="str">
        <f>IF($G851="","",IF(AND(LEFT($O851,3)="Wom",ISERROR(MATCH($N851,Lge_Women!$B:$B,0))),1,0))</f>
        <v/>
      </c>
      <c r="D851" s="2" t="str">
        <f>IF($G851="","",IF(AND(OR($O851="Vet",$O851="Woman Vet"),ISERROR(MATCH($N851,Lge_Vets!$B:$B,0))),1,0))</f>
        <v/>
      </c>
      <c r="E851" s="2" t="str">
        <f>IF($G851="","",IF(AND(OR($O851="Junior",$O851="Woman Junior",$O851="Youth",$O851="Woman Youth"),ISERROR(MATCH($N851,Lge_Junior!$B:$B,0))),1,0))</f>
        <v/>
      </c>
      <c r="F851" s="2" t="str">
        <f>IF($G851="","",IF(AND(LEFT($O851,3)="You",ISERROR(MATCH($N851,Lge_Youth!$B:$B,0))),1,0))</f>
        <v/>
      </c>
      <c r="G851" s="3"/>
      <c r="H851" s="3"/>
      <c r="I851" s="3"/>
      <c r="J851" s="3"/>
      <c r="K851" s="6"/>
      <c r="L851" s="4"/>
      <c r="M851" s="4"/>
      <c r="N851" s="8"/>
      <c r="O851" s="8"/>
      <c r="P851" s="9"/>
      <c r="Q851" s="8"/>
      <c r="R851" s="8"/>
      <c r="S851" s="9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10"/>
    </row>
    <row r="852" spans="1:39" x14ac:dyDescent="0.2">
      <c r="A852" s="2" t="str">
        <f>IF($G852="","",IF(ISERROR(MATCH($N852,Lge_Scratch!$B:$B,0)),1,0))</f>
        <v/>
      </c>
      <c r="B852" s="2" t="str">
        <f>IF($G852="","",IF(AND(LEFT($Q852,8)="Non-aero",ISERROR(MATCH($N852,Lge_NonAero!$B:$B,0))),1,0))</f>
        <v/>
      </c>
      <c r="C852" s="5" t="str">
        <f>IF($G852="","",IF(AND(LEFT($O852,3)="Wom",ISERROR(MATCH($N852,Lge_Women!$B:$B,0))),1,0))</f>
        <v/>
      </c>
      <c r="D852" s="2" t="str">
        <f>IF($G852="","",IF(AND(OR($O852="Vet",$O852="Woman Vet"),ISERROR(MATCH($N852,Lge_Vets!$B:$B,0))),1,0))</f>
        <v/>
      </c>
      <c r="E852" s="2" t="str">
        <f>IF($G852="","",IF(AND(OR($O852="Junior",$O852="Woman Junior",$O852="Youth",$O852="Woman Youth"),ISERROR(MATCH($N852,Lge_Junior!$B:$B,0))),1,0))</f>
        <v/>
      </c>
      <c r="F852" s="2" t="str">
        <f>IF($G852="","",IF(AND(LEFT($O852,3)="You",ISERROR(MATCH($N852,Lge_Youth!$B:$B,0))),1,0))</f>
        <v/>
      </c>
      <c r="G852" s="3"/>
      <c r="H852" s="3"/>
      <c r="I852" s="3"/>
      <c r="J852" s="3"/>
      <c r="K852" s="6"/>
      <c r="L852" s="4"/>
      <c r="M852" s="4"/>
      <c r="N852" s="8"/>
      <c r="O852" s="8"/>
      <c r="P852" s="9"/>
      <c r="Q852" s="8"/>
      <c r="R852" s="8"/>
      <c r="S852" s="9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10"/>
    </row>
    <row r="853" spans="1:39" x14ac:dyDescent="0.2">
      <c r="A853" s="2" t="str">
        <f>IF($G853="","",IF(ISERROR(MATCH($N853,Lge_Scratch!$B:$B,0)),1,0))</f>
        <v/>
      </c>
      <c r="B853" s="2" t="str">
        <f>IF($G853="","",IF(AND(LEFT($Q853,8)="Non-aero",ISERROR(MATCH($N853,Lge_NonAero!$B:$B,0))),1,0))</f>
        <v/>
      </c>
      <c r="C853" s="5" t="str">
        <f>IF($G853="","",IF(AND(LEFT($O853,3)="Wom",ISERROR(MATCH($N853,Lge_Women!$B:$B,0))),1,0))</f>
        <v/>
      </c>
      <c r="D853" s="2" t="str">
        <f>IF($G853="","",IF(AND(OR($O853="Vet",$O853="Woman Vet"),ISERROR(MATCH($N853,Lge_Vets!$B:$B,0))),1,0))</f>
        <v/>
      </c>
      <c r="E853" s="2" t="str">
        <f>IF($G853="","",IF(AND(OR($O853="Junior",$O853="Woman Junior",$O853="Youth",$O853="Woman Youth"),ISERROR(MATCH($N853,Lge_Junior!$B:$B,0))),1,0))</f>
        <v/>
      </c>
      <c r="F853" s="2" t="str">
        <f>IF($G853="","",IF(AND(LEFT($O853,3)="You",ISERROR(MATCH($N853,Lge_Youth!$B:$B,0))),1,0))</f>
        <v/>
      </c>
      <c r="G853" s="3"/>
      <c r="H853" s="3"/>
      <c r="I853" s="3"/>
      <c r="J853" s="3"/>
      <c r="K853" s="6"/>
      <c r="L853" s="4"/>
      <c r="M853" s="4"/>
      <c r="N853" s="8"/>
      <c r="O853" s="8"/>
      <c r="P853" s="9"/>
      <c r="Q853" s="8"/>
      <c r="R853" s="8"/>
      <c r="S853" s="9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10"/>
    </row>
    <row r="854" spans="1:39" x14ac:dyDescent="0.2">
      <c r="A854" s="2" t="str">
        <f>IF($G854="","",IF(ISERROR(MATCH($N854,Lge_Scratch!$B:$B,0)),1,0))</f>
        <v/>
      </c>
      <c r="B854" s="2" t="str">
        <f>IF($G854="","",IF(AND(LEFT($Q854,8)="Non-aero",ISERROR(MATCH($N854,Lge_NonAero!$B:$B,0))),1,0))</f>
        <v/>
      </c>
      <c r="C854" s="5" t="str">
        <f>IF($G854="","",IF(AND(LEFT($O854,3)="Wom",ISERROR(MATCH($N854,Lge_Women!$B:$B,0))),1,0))</f>
        <v/>
      </c>
      <c r="D854" s="2" t="str">
        <f>IF($G854="","",IF(AND(OR($O854="Vet",$O854="Woman Vet"),ISERROR(MATCH($N854,Lge_Vets!$B:$B,0))),1,0))</f>
        <v/>
      </c>
      <c r="E854" s="2" t="str">
        <f>IF($G854="","",IF(AND(OR($O854="Junior",$O854="Woman Junior",$O854="Youth",$O854="Woman Youth"),ISERROR(MATCH($N854,Lge_Junior!$B:$B,0))),1,0))</f>
        <v/>
      </c>
      <c r="F854" s="2" t="str">
        <f>IF($G854="","",IF(AND(LEFT($O854,3)="You",ISERROR(MATCH($N854,Lge_Youth!$B:$B,0))),1,0))</f>
        <v/>
      </c>
      <c r="G854" s="3"/>
      <c r="H854" s="3"/>
      <c r="I854" s="3"/>
      <c r="J854" s="3"/>
      <c r="K854" s="6"/>
      <c r="L854" s="4"/>
      <c r="M854" s="4"/>
      <c r="N854" s="8"/>
      <c r="O854" s="8"/>
      <c r="P854" s="9"/>
      <c r="Q854" s="8"/>
      <c r="R854" s="8"/>
      <c r="S854" s="9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10"/>
    </row>
    <row r="855" spans="1:39" x14ac:dyDescent="0.2">
      <c r="A855" s="2" t="str">
        <f>IF($G855="","",IF(ISERROR(MATCH($N855,Lge_Scratch!$B:$B,0)),1,0))</f>
        <v/>
      </c>
      <c r="B855" s="2" t="str">
        <f>IF($G855="","",IF(AND(LEFT($Q855,8)="Non-aero",ISERROR(MATCH($N855,Lge_NonAero!$B:$B,0))),1,0))</f>
        <v/>
      </c>
      <c r="C855" s="5" t="str">
        <f>IF($G855="","",IF(AND(LEFT($O855,3)="Wom",ISERROR(MATCH($N855,Lge_Women!$B:$B,0))),1,0))</f>
        <v/>
      </c>
      <c r="D855" s="2" t="str">
        <f>IF($G855="","",IF(AND(OR($O855="Vet",$O855="Woman Vet"),ISERROR(MATCH($N855,Lge_Vets!$B:$B,0))),1,0))</f>
        <v/>
      </c>
      <c r="E855" s="2" t="str">
        <f>IF($G855="","",IF(AND(OR($O855="Junior",$O855="Woman Junior",$O855="Youth",$O855="Woman Youth"),ISERROR(MATCH($N855,Lge_Junior!$B:$B,0))),1,0))</f>
        <v/>
      </c>
      <c r="F855" s="2" t="str">
        <f>IF($G855="","",IF(AND(LEFT($O855,3)="You",ISERROR(MATCH($N855,Lge_Youth!$B:$B,0))),1,0))</f>
        <v/>
      </c>
      <c r="G855" s="3"/>
      <c r="H855" s="3"/>
      <c r="I855" s="3"/>
      <c r="J855" s="3"/>
      <c r="K855" s="6"/>
      <c r="L855" s="4"/>
      <c r="M855" s="4"/>
      <c r="N855" s="8"/>
      <c r="O855" s="8"/>
      <c r="P855" s="9"/>
      <c r="Q855" s="8"/>
      <c r="R855" s="8"/>
      <c r="S855" s="9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10"/>
    </row>
    <row r="856" spans="1:39" x14ac:dyDescent="0.2">
      <c r="A856" s="2" t="str">
        <f>IF($G856="","",IF(ISERROR(MATCH($N856,Lge_Scratch!$B:$B,0)),1,0))</f>
        <v/>
      </c>
      <c r="B856" s="2" t="str">
        <f>IF($G856="","",IF(AND(LEFT($Q856,8)="Non-aero",ISERROR(MATCH($N856,Lge_NonAero!$B:$B,0))),1,0))</f>
        <v/>
      </c>
      <c r="C856" s="5" t="str">
        <f>IF($G856="","",IF(AND(LEFT($O856,3)="Wom",ISERROR(MATCH($N856,Lge_Women!$B:$B,0))),1,0))</f>
        <v/>
      </c>
      <c r="D856" s="2" t="str">
        <f>IF($G856="","",IF(AND(OR($O856="Vet",$O856="Woman Vet"),ISERROR(MATCH($N856,Lge_Vets!$B:$B,0))),1,0))</f>
        <v/>
      </c>
      <c r="E856" s="2" t="str">
        <f>IF($G856="","",IF(AND(OR($O856="Junior",$O856="Woman Junior",$O856="Youth",$O856="Woman Youth"),ISERROR(MATCH($N856,Lge_Junior!$B:$B,0))),1,0))</f>
        <v/>
      </c>
      <c r="F856" s="2" t="str">
        <f>IF($G856="","",IF(AND(LEFT($O856,3)="You",ISERROR(MATCH($N856,Lge_Youth!$B:$B,0))),1,0))</f>
        <v/>
      </c>
      <c r="G856" s="3"/>
      <c r="H856" s="3"/>
      <c r="I856" s="3"/>
      <c r="J856" s="3"/>
      <c r="K856" s="6"/>
      <c r="L856" s="4"/>
      <c r="M856" s="4"/>
      <c r="N856" s="8"/>
      <c r="O856" s="8"/>
      <c r="P856" s="9"/>
      <c r="Q856" s="8"/>
      <c r="R856" s="8"/>
      <c r="S856" s="9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10"/>
    </row>
    <row r="857" spans="1:39" x14ac:dyDescent="0.2">
      <c r="A857" s="2" t="str">
        <f>IF($G857="","",IF(ISERROR(MATCH($N857,Lge_Scratch!$B:$B,0)),1,0))</f>
        <v/>
      </c>
      <c r="B857" s="2" t="str">
        <f>IF($G857="","",IF(AND(LEFT($Q857,8)="Non-aero",ISERROR(MATCH($N857,Lge_NonAero!$B:$B,0))),1,0))</f>
        <v/>
      </c>
      <c r="C857" s="5" t="str">
        <f>IF($G857="","",IF(AND(LEFT($O857,3)="Wom",ISERROR(MATCH($N857,Lge_Women!$B:$B,0))),1,0))</f>
        <v/>
      </c>
      <c r="D857" s="2" t="str">
        <f>IF($G857="","",IF(AND(OR($O857="Vet",$O857="Woman Vet"),ISERROR(MATCH($N857,Lge_Vets!$B:$B,0))),1,0))</f>
        <v/>
      </c>
      <c r="E857" s="2" t="str">
        <f>IF($G857="","",IF(AND(OR($O857="Junior",$O857="Woman Junior",$O857="Youth",$O857="Woman Youth"),ISERROR(MATCH($N857,Lge_Junior!$B:$B,0))),1,0))</f>
        <v/>
      </c>
      <c r="F857" s="2" t="str">
        <f>IF($G857="","",IF(AND(LEFT($O857,3)="You",ISERROR(MATCH($N857,Lge_Youth!$B:$B,0))),1,0))</f>
        <v/>
      </c>
      <c r="G857" s="3"/>
      <c r="H857" s="3"/>
      <c r="I857" s="3"/>
      <c r="J857" s="3"/>
      <c r="K857" s="6"/>
      <c r="L857" s="4"/>
      <c r="M857" s="4"/>
      <c r="N857" s="8"/>
      <c r="O857" s="8"/>
      <c r="P857" s="9"/>
      <c r="Q857" s="8"/>
      <c r="R857" s="8"/>
      <c r="S857" s="9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10"/>
    </row>
    <row r="858" spans="1:39" x14ac:dyDescent="0.2">
      <c r="A858" s="2" t="str">
        <f>IF($G858="","",IF(ISERROR(MATCH($N858,Lge_Scratch!$B:$B,0)),1,0))</f>
        <v/>
      </c>
      <c r="B858" s="2" t="str">
        <f>IF($G858="","",IF(AND(LEFT($Q858,8)="Non-aero",ISERROR(MATCH($N858,Lge_NonAero!$B:$B,0))),1,0))</f>
        <v/>
      </c>
      <c r="C858" s="5" t="str">
        <f>IF($G858="","",IF(AND(LEFT($O858,3)="Wom",ISERROR(MATCH($N858,Lge_Women!$B:$B,0))),1,0))</f>
        <v/>
      </c>
      <c r="D858" s="2" t="str">
        <f>IF($G858="","",IF(AND(OR($O858="Vet",$O858="Woman Vet"),ISERROR(MATCH($N858,Lge_Vets!$B:$B,0))),1,0))</f>
        <v/>
      </c>
      <c r="E858" s="2" t="str">
        <f>IF($G858="","",IF(AND(OR($O858="Junior",$O858="Woman Junior",$O858="Youth",$O858="Woman Youth"),ISERROR(MATCH($N858,Lge_Junior!$B:$B,0))),1,0))</f>
        <v/>
      </c>
      <c r="F858" s="2" t="str">
        <f>IF($G858="","",IF(AND(LEFT($O858,3)="You",ISERROR(MATCH($N858,Lge_Youth!$B:$B,0))),1,0))</f>
        <v/>
      </c>
      <c r="G858" s="3"/>
      <c r="H858" s="3"/>
      <c r="I858" s="3"/>
      <c r="J858" s="3"/>
      <c r="K858" s="6"/>
      <c r="L858" s="4"/>
      <c r="M858" s="4"/>
      <c r="N858" s="8"/>
      <c r="O858" s="8"/>
      <c r="P858" s="9"/>
      <c r="Q858" s="8"/>
      <c r="R858" s="8"/>
      <c r="S858" s="9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10"/>
    </row>
    <row r="859" spans="1:39" x14ac:dyDescent="0.2">
      <c r="A859" s="2" t="str">
        <f>IF($G859="","",IF(ISERROR(MATCH($N859,Lge_Scratch!$B:$B,0)),1,0))</f>
        <v/>
      </c>
      <c r="B859" s="2" t="str">
        <f>IF($G859="","",IF(AND(LEFT($Q859,8)="Non-aero",ISERROR(MATCH($N859,Lge_NonAero!$B:$B,0))),1,0))</f>
        <v/>
      </c>
      <c r="C859" s="5" t="str">
        <f>IF($G859="","",IF(AND(LEFT($O859,3)="Wom",ISERROR(MATCH($N859,Lge_Women!$B:$B,0))),1,0))</f>
        <v/>
      </c>
      <c r="D859" s="2" t="str">
        <f>IF($G859="","",IF(AND(OR($O859="Vet",$O859="Woman Vet"),ISERROR(MATCH($N859,Lge_Vets!$B:$B,0))),1,0))</f>
        <v/>
      </c>
      <c r="E859" s="2" t="str">
        <f>IF($G859="","",IF(AND(OR($O859="Junior",$O859="Woman Junior",$O859="Youth",$O859="Woman Youth"),ISERROR(MATCH($N859,Lge_Junior!$B:$B,0))),1,0))</f>
        <v/>
      </c>
      <c r="F859" s="2" t="str">
        <f>IF($G859="","",IF(AND(LEFT($O859,3)="You",ISERROR(MATCH($N859,Lge_Youth!$B:$B,0))),1,0))</f>
        <v/>
      </c>
      <c r="G859" s="3"/>
      <c r="H859" s="3"/>
      <c r="I859" s="3"/>
      <c r="J859" s="3"/>
      <c r="K859" s="6"/>
      <c r="L859" s="4"/>
      <c r="M859" s="4"/>
      <c r="N859" s="8"/>
      <c r="O859" s="8"/>
      <c r="P859" s="9"/>
      <c r="Q859" s="8"/>
      <c r="R859" s="8"/>
      <c r="S859" s="9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10"/>
    </row>
    <row r="860" spans="1:39" x14ac:dyDescent="0.2">
      <c r="A860" s="2" t="str">
        <f>IF($G860="","",IF(ISERROR(MATCH($N860,Lge_Scratch!$B:$B,0)),1,0))</f>
        <v/>
      </c>
      <c r="B860" s="2" t="str">
        <f>IF($G860="","",IF(AND(LEFT($Q860,8)="Non-aero",ISERROR(MATCH($N860,Lge_NonAero!$B:$B,0))),1,0))</f>
        <v/>
      </c>
      <c r="C860" s="5" t="str">
        <f>IF($G860="","",IF(AND(LEFT($O860,3)="Wom",ISERROR(MATCH($N860,Lge_Women!$B:$B,0))),1,0))</f>
        <v/>
      </c>
      <c r="D860" s="2" t="str">
        <f>IF($G860="","",IF(AND(OR($O860="Vet",$O860="Woman Vet"),ISERROR(MATCH($N860,Lge_Vets!$B:$B,0))),1,0))</f>
        <v/>
      </c>
      <c r="E860" s="2" t="str">
        <f>IF($G860="","",IF(AND(OR($O860="Junior",$O860="Woman Junior",$O860="Youth",$O860="Woman Youth"),ISERROR(MATCH($N860,Lge_Junior!$B:$B,0))),1,0))</f>
        <v/>
      </c>
      <c r="F860" s="2" t="str">
        <f>IF($G860="","",IF(AND(LEFT($O860,3)="You",ISERROR(MATCH($N860,Lge_Youth!$B:$B,0))),1,0))</f>
        <v/>
      </c>
      <c r="G860" s="3"/>
      <c r="H860" s="3"/>
      <c r="I860" s="3"/>
      <c r="J860" s="3"/>
      <c r="K860" s="6"/>
      <c r="L860" s="4"/>
      <c r="M860" s="4"/>
      <c r="N860" s="8"/>
      <c r="O860" s="8"/>
      <c r="P860" s="9"/>
      <c r="Q860" s="8"/>
      <c r="R860" s="8"/>
      <c r="S860" s="9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10"/>
    </row>
    <row r="861" spans="1:39" x14ac:dyDescent="0.2">
      <c r="A861" s="2" t="str">
        <f>IF($G861="","",IF(ISERROR(MATCH($N861,Lge_Scratch!$B:$B,0)),1,0))</f>
        <v/>
      </c>
      <c r="B861" s="2" t="str">
        <f>IF($G861="","",IF(AND(LEFT($Q861,8)="Non-aero",ISERROR(MATCH($N861,Lge_NonAero!$B:$B,0))),1,0))</f>
        <v/>
      </c>
      <c r="C861" s="5" t="str">
        <f>IF($G861="","",IF(AND(LEFT($O861,3)="Wom",ISERROR(MATCH($N861,Lge_Women!$B:$B,0))),1,0))</f>
        <v/>
      </c>
      <c r="D861" s="2" t="str">
        <f>IF($G861="","",IF(AND(OR($O861="Vet",$O861="Woman Vet"),ISERROR(MATCH($N861,Lge_Vets!$B:$B,0))),1,0))</f>
        <v/>
      </c>
      <c r="E861" s="2" t="str">
        <f>IF($G861="","",IF(AND(OR($O861="Junior",$O861="Woman Junior",$O861="Youth",$O861="Woman Youth"),ISERROR(MATCH($N861,Lge_Junior!$B:$B,0))),1,0))</f>
        <v/>
      </c>
      <c r="F861" s="2" t="str">
        <f>IF($G861="","",IF(AND(LEFT($O861,3)="You",ISERROR(MATCH($N861,Lge_Youth!$B:$B,0))),1,0))</f>
        <v/>
      </c>
      <c r="G861" s="3"/>
      <c r="H861" s="3"/>
      <c r="I861" s="3"/>
      <c r="J861" s="3"/>
      <c r="K861" s="6"/>
      <c r="L861" s="4"/>
      <c r="M861" s="4"/>
      <c r="N861" s="8"/>
      <c r="O861" s="8"/>
      <c r="P861" s="9"/>
      <c r="Q861" s="8"/>
      <c r="R861" s="8"/>
      <c r="S861" s="9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10"/>
    </row>
    <row r="862" spans="1:39" x14ac:dyDescent="0.2">
      <c r="A862" s="2" t="str">
        <f>IF($G862="","",IF(ISERROR(MATCH($N862,Lge_Scratch!$B:$B,0)),1,0))</f>
        <v/>
      </c>
      <c r="B862" s="2" t="str">
        <f>IF($G862="","",IF(AND(LEFT($Q862,8)="Non-aero",ISERROR(MATCH($N862,Lge_NonAero!$B:$B,0))),1,0))</f>
        <v/>
      </c>
      <c r="C862" s="5" t="str">
        <f>IF($G862="","",IF(AND(LEFT($O862,3)="Wom",ISERROR(MATCH($N862,Lge_Women!$B:$B,0))),1,0))</f>
        <v/>
      </c>
      <c r="D862" s="2" t="str">
        <f>IF($G862="","",IF(AND(OR($O862="Vet",$O862="Woman Vet"),ISERROR(MATCH($N862,Lge_Vets!$B:$B,0))),1,0))</f>
        <v/>
      </c>
      <c r="E862" s="2" t="str">
        <f>IF($G862="","",IF(AND(OR($O862="Junior",$O862="Woman Junior",$O862="Youth",$O862="Woman Youth"),ISERROR(MATCH($N862,Lge_Junior!$B:$B,0))),1,0))</f>
        <v/>
      </c>
      <c r="F862" s="2" t="str">
        <f>IF($G862="","",IF(AND(LEFT($O862,3)="You",ISERROR(MATCH($N862,Lge_Youth!$B:$B,0))),1,0))</f>
        <v/>
      </c>
      <c r="G862" s="3"/>
      <c r="H862" s="3"/>
      <c r="I862" s="3"/>
      <c r="J862" s="3"/>
      <c r="K862" s="6"/>
      <c r="L862" s="4"/>
      <c r="M862" s="4"/>
      <c r="N862" s="8"/>
      <c r="O862" s="8"/>
      <c r="P862" s="9"/>
      <c r="Q862" s="8"/>
      <c r="R862" s="8"/>
      <c r="S862" s="9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10"/>
    </row>
    <row r="863" spans="1:39" x14ac:dyDescent="0.2">
      <c r="A863" s="2" t="str">
        <f>IF($G863="","",IF(ISERROR(MATCH($N863,Lge_Scratch!$B:$B,0)),1,0))</f>
        <v/>
      </c>
      <c r="B863" s="2" t="str">
        <f>IF($G863="","",IF(AND(LEFT($Q863,8)="Non-aero",ISERROR(MATCH($N863,Lge_NonAero!$B:$B,0))),1,0))</f>
        <v/>
      </c>
      <c r="C863" s="5" t="str">
        <f>IF($G863="","",IF(AND(LEFT($O863,3)="Wom",ISERROR(MATCH($N863,Lge_Women!$B:$B,0))),1,0))</f>
        <v/>
      </c>
      <c r="D863" s="2" t="str">
        <f>IF($G863="","",IF(AND(OR($O863="Vet",$O863="Woman Vet"),ISERROR(MATCH($N863,Lge_Vets!$B:$B,0))),1,0))</f>
        <v/>
      </c>
      <c r="E863" s="2" t="str">
        <f>IF($G863="","",IF(AND(OR($O863="Junior",$O863="Woman Junior",$O863="Youth",$O863="Woman Youth"),ISERROR(MATCH($N863,Lge_Junior!$B:$B,0))),1,0))</f>
        <v/>
      </c>
      <c r="F863" s="2" t="str">
        <f>IF($G863="","",IF(AND(LEFT($O863,3)="You",ISERROR(MATCH($N863,Lge_Youth!$B:$B,0))),1,0))</f>
        <v/>
      </c>
      <c r="G863" s="3"/>
      <c r="H863" s="3"/>
      <c r="I863" s="3"/>
      <c r="J863" s="3"/>
      <c r="K863" s="6"/>
      <c r="L863" s="4"/>
      <c r="M863" s="4"/>
      <c r="N863" s="8"/>
      <c r="O863" s="8"/>
      <c r="P863" s="9"/>
      <c r="Q863" s="8"/>
      <c r="R863" s="8"/>
      <c r="S863" s="9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10"/>
    </row>
    <row r="864" spans="1:39" x14ac:dyDescent="0.2">
      <c r="A864" s="2" t="str">
        <f>IF($G864="","",IF(ISERROR(MATCH($N864,Lge_Scratch!$B:$B,0)),1,0))</f>
        <v/>
      </c>
      <c r="B864" s="2" t="str">
        <f>IF($G864="","",IF(AND(LEFT($Q864,8)="Non-aero",ISERROR(MATCH($N864,Lge_NonAero!$B:$B,0))),1,0))</f>
        <v/>
      </c>
      <c r="C864" s="5" t="str">
        <f>IF($G864="","",IF(AND(LEFT($O864,3)="Wom",ISERROR(MATCH($N864,Lge_Women!$B:$B,0))),1,0))</f>
        <v/>
      </c>
      <c r="D864" s="2" t="str">
        <f>IF($G864="","",IF(AND(OR($O864="Vet",$O864="Woman Vet"),ISERROR(MATCH($N864,Lge_Vets!$B:$B,0))),1,0))</f>
        <v/>
      </c>
      <c r="E864" s="2" t="str">
        <f>IF($G864="","",IF(AND(OR($O864="Junior",$O864="Woman Junior",$O864="Youth",$O864="Woman Youth"),ISERROR(MATCH($N864,Lge_Junior!$B:$B,0))),1,0))</f>
        <v/>
      </c>
      <c r="F864" s="2" t="str">
        <f>IF($G864="","",IF(AND(LEFT($O864,3)="You",ISERROR(MATCH($N864,Lge_Youth!$B:$B,0))),1,0))</f>
        <v/>
      </c>
      <c r="G864" s="3"/>
      <c r="H864" s="3"/>
      <c r="I864" s="3"/>
      <c r="J864" s="3"/>
      <c r="K864" s="6"/>
      <c r="L864" s="4"/>
      <c r="M864" s="4"/>
      <c r="N864" s="8"/>
      <c r="O864" s="8"/>
      <c r="P864" s="9"/>
      <c r="Q864" s="8"/>
      <c r="R864" s="8"/>
      <c r="S864" s="9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10"/>
    </row>
    <row r="865" spans="1:39" x14ac:dyDescent="0.2">
      <c r="A865" s="2" t="str">
        <f>IF($G865="","",IF(ISERROR(MATCH($N865,Lge_Scratch!$B:$B,0)),1,0))</f>
        <v/>
      </c>
      <c r="B865" s="2" t="str">
        <f>IF($G865="","",IF(AND(LEFT($Q865,8)="Non-aero",ISERROR(MATCH($N865,Lge_NonAero!$B:$B,0))),1,0))</f>
        <v/>
      </c>
      <c r="C865" s="5" t="str">
        <f>IF($G865="","",IF(AND(LEFT($O865,3)="Wom",ISERROR(MATCH($N865,Lge_Women!$B:$B,0))),1,0))</f>
        <v/>
      </c>
      <c r="D865" s="2" t="str">
        <f>IF($G865="","",IF(AND(OR($O865="Vet",$O865="Woman Vet"),ISERROR(MATCH($N865,Lge_Vets!$B:$B,0))),1,0))</f>
        <v/>
      </c>
      <c r="E865" s="2" t="str">
        <f>IF($G865="","",IF(AND(OR($O865="Junior",$O865="Woman Junior",$O865="Youth",$O865="Woman Youth"),ISERROR(MATCH($N865,Lge_Junior!$B:$B,0))),1,0))</f>
        <v/>
      </c>
      <c r="F865" s="2" t="str">
        <f>IF($G865="","",IF(AND(LEFT($O865,3)="You",ISERROR(MATCH($N865,Lge_Youth!$B:$B,0))),1,0))</f>
        <v/>
      </c>
      <c r="G865" s="3"/>
      <c r="H865" s="3"/>
      <c r="I865" s="3"/>
      <c r="J865" s="3"/>
      <c r="K865" s="6"/>
      <c r="L865" s="4"/>
      <c r="M865" s="4"/>
      <c r="N865" s="8"/>
      <c r="O865" s="8"/>
      <c r="P865" s="9"/>
      <c r="Q865" s="8"/>
      <c r="R865" s="8"/>
      <c r="S865" s="9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10"/>
    </row>
    <row r="866" spans="1:39" x14ac:dyDescent="0.2">
      <c r="A866" s="2" t="str">
        <f>IF($G866="","",IF(ISERROR(MATCH($N866,Lge_Scratch!$B:$B,0)),1,0))</f>
        <v/>
      </c>
      <c r="B866" s="2" t="str">
        <f>IF($G866="","",IF(AND(LEFT($Q866,8)="Non-aero",ISERROR(MATCH($N866,Lge_NonAero!$B:$B,0))),1,0))</f>
        <v/>
      </c>
      <c r="C866" s="5" t="str">
        <f>IF($G866="","",IF(AND(LEFT($O866,3)="Wom",ISERROR(MATCH($N866,Lge_Women!$B:$B,0))),1,0))</f>
        <v/>
      </c>
      <c r="D866" s="2" t="str">
        <f>IF($G866="","",IF(AND(OR($O866="Vet",$O866="Woman Vet"),ISERROR(MATCH($N866,Lge_Vets!$B:$B,0))),1,0))</f>
        <v/>
      </c>
      <c r="E866" s="2" t="str">
        <f>IF($G866="","",IF(AND(OR($O866="Junior",$O866="Woman Junior",$O866="Youth",$O866="Woman Youth"),ISERROR(MATCH($N866,Lge_Junior!$B:$B,0))),1,0))</f>
        <v/>
      </c>
      <c r="F866" s="2" t="str">
        <f>IF($G866="","",IF(AND(LEFT($O866,3)="You",ISERROR(MATCH($N866,Lge_Youth!$B:$B,0))),1,0))</f>
        <v/>
      </c>
      <c r="G866" s="3"/>
      <c r="H866" s="3"/>
      <c r="I866" s="3"/>
      <c r="J866" s="3"/>
      <c r="K866" s="6"/>
      <c r="L866" s="4"/>
      <c r="M866" s="4"/>
      <c r="N866" s="8"/>
      <c r="O866" s="8"/>
      <c r="P866" s="9"/>
      <c r="Q866" s="8"/>
      <c r="R866" s="8"/>
      <c r="S866" s="9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10"/>
    </row>
    <row r="867" spans="1:39" x14ac:dyDescent="0.2">
      <c r="A867" s="2" t="str">
        <f>IF($G867="","",IF(ISERROR(MATCH($N867,Lge_Scratch!$B:$B,0)),1,0))</f>
        <v/>
      </c>
      <c r="B867" s="2" t="str">
        <f>IF($G867="","",IF(AND(LEFT($Q867,8)="Non-aero",ISERROR(MATCH($N867,Lge_NonAero!$B:$B,0))),1,0))</f>
        <v/>
      </c>
      <c r="C867" s="5" t="str">
        <f>IF($G867="","",IF(AND(LEFT($O867,3)="Wom",ISERROR(MATCH($N867,Lge_Women!$B:$B,0))),1,0))</f>
        <v/>
      </c>
      <c r="D867" s="2" t="str">
        <f>IF($G867="","",IF(AND(OR($O867="Vet",$O867="Woman Vet"),ISERROR(MATCH($N867,Lge_Vets!$B:$B,0))),1,0))</f>
        <v/>
      </c>
      <c r="E867" s="2" t="str">
        <f>IF($G867="","",IF(AND(OR($O867="Junior",$O867="Woman Junior",$O867="Youth",$O867="Woman Youth"),ISERROR(MATCH($N867,Lge_Junior!$B:$B,0))),1,0))</f>
        <v/>
      </c>
      <c r="F867" s="2" t="str">
        <f>IF($G867="","",IF(AND(LEFT($O867,3)="You",ISERROR(MATCH($N867,Lge_Youth!$B:$B,0))),1,0))</f>
        <v/>
      </c>
      <c r="G867" s="3"/>
      <c r="H867" s="3"/>
      <c r="I867" s="3"/>
      <c r="J867" s="3"/>
      <c r="K867" s="6"/>
      <c r="L867" s="4"/>
      <c r="M867" s="4"/>
      <c r="N867" s="8"/>
      <c r="O867" s="8"/>
      <c r="P867" s="9"/>
      <c r="Q867" s="8"/>
      <c r="R867" s="8"/>
      <c r="S867" s="9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10"/>
    </row>
    <row r="868" spans="1:39" x14ac:dyDescent="0.2">
      <c r="A868" s="2" t="str">
        <f>IF($G868="","",IF(ISERROR(MATCH($N868,Lge_Scratch!$B:$B,0)),1,0))</f>
        <v/>
      </c>
      <c r="B868" s="2" t="str">
        <f>IF($G868="","",IF(AND(LEFT($Q868,8)="Non-aero",ISERROR(MATCH($N868,Lge_NonAero!$B:$B,0))),1,0))</f>
        <v/>
      </c>
      <c r="C868" s="5" t="str">
        <f>IF($G868="","",IF(AND(LEFT($O868,3)="Wom",ISERROR(MATCH($N868,Lge_Women!$B:$B,0))),1,0))</f>
        <v/>
      </c>
      <c r="D868" s="2" t="str">
        <f>IF($G868="","",IF(AND(OR($O868="Vet",$O868="Woman Vet"),ISERROR(MATCH($N868,Lge_Vets!$B:$B,0))),1,0))</f>
        <v/>
      </c>
      <c r="E868" s="2" t="str">
        <f>IF($G868="","",IF(AND(OR($O868="Junior",$O868="Woman Junior",$O868="Youth",$O868="Woman Youth"),ISERROR(MATCH($N868,Lge_Junior!$B:$B,0))),1,0))</f>
        <v/>
      </c>
      <c r="F868" s="2" t="str">
        <f>IF($G868="","",IF(AND(LEFT($O868,3)="You",ISERROR(MATCH($N868,Lge_Youth!$B:$B,0))),1,0))</f>
        <v/>
      </c>
      <c r="G868" s="3"/>
      <c r="H868" s="3"/>
      <c r="I868" s="3"/>
      <c r="J868" s="3"/>
      <c r="K868" s="6"/>
      <c r="L868" s="4"/>
      <c r="M868" s="4"/>
      <c r="N868" s="8"/>
      <c r="O868" s="8"/>
      <c r="P868" s="9"/>
      <c r="Q868" s="8"/>
      <c r="R868" s="8"/>
      <c r="S868" s="9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10"/>
    </row>
    <row r="869" spans="1:39" x14ac:dyDescent="0.2">
      <c r="A869" s="2" t="str">
        <f>IF($G869="","",IF(ISERROR(MATCH($N869,Lge_Scratch!$B:$B,0)),1,0))</f>
        <v/>
      </c>
      <c r="B869" s="2" t="str">
        <f>IF($G869="","",IF(AND(LEFT($Q869,8)="Non-aero",ISERROR(MATCH($N869,Lge_NonAero!$B:$B,0))),1,0))</f>
        <v/>
      </c>
      <c r="C869" s="5" t="str">
        <f>IF($G869="","",IF(AND(LEFT($O869,3)="Wom",ISERROR(MATCH($N869,Lge_Women!$B:$B,0))),1,0))</f>
        <v/>
      </c>
      <c r="D869" s="2" t="str">
        <f>IF($G869="","",IF(AND(OR($O869="Vet",$O869="Woman Vet"),ISERROR(MATCH($N869,Lge_Vets!$B:$B,0))),1,0))</f>
        <v/>
      </c>
      <c r="E869" s="2" t="str">
        <f>IF($G869="","",IF(AND(OR($O869="Junior",$O869="Woman Junior",$O869="Youth",$O869="Woman Youth"),ISERROR(MATCH($N869,Lge_Junior!$B:$B,0))),1,0))</f>
        <v/>
      </c>
      <c r="F869" s="2" t="str">
        <f>IF($G869="","",IF(AND(LEFT($O869,3)="You",ISERROR(MATCH($N869,Lge_Youth!$B:$B,0))),1,0))</f>
        <v/>
      </c>
      <c r="G869" s="3"/>
      <c r="H869" s="3"/>
      <c r="I869" s="3"/>
      <c r="J869" s="3"/>
      <c r="K869" s="6"/>
      <c r="L869" s="4"/>
      <c r="M869" s="4"/>
      <c r="N869" s="8"/>
      <c r="O869" s="8"/>
      <c r="P869" s="9"/>
      <c r="Q869" s="8"/>
      <c r="R869" s="8"/>
      <c r="S869" s="9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10"/>
    </row>
    <row r="870" spans="1:39" x14ac:dyDescent="0.2">
      <c r="A870" s="2" t="str">
        <f>IF($G870="","",IF(ISERROR(MATCH($N870,Lge_Scratch!$B:$B,0)),1,0))</f>
        <v/>
      </c>
      <c r="B870" s="2" t="str">
        <f>IF($G870="","",IF(AND(LEFT($Q870,8)="Non-aero",ISERROR(MATCH($N870,Lge_NonAero!$B:$B,0))),1,0))</f>
        <v/>
      </c>
      <c r="C870" s="5" t="str">
        <f>IF($G870="","",IF(AND(LEFT($O870,3)="Wom",ISERROR(MATCH($N870,Lge_Women!$B:$B,0))),1,0))</f>
        <v/>
      </c>
      <c r="D870" s="2" t="str">
        <f>IF($G870="","",IF(AND(OR($O870="Vet",$O870="Woman Vet"),ISERROR(MATCH($N870,Lge_Vets!$B:$B,0))),1,0))</f>
        <v/>
      </c>
      <c r="E870" s="2" t="str">
        <f>IF($G870="","",IF(AND(OR($O870="Junior",$O870="Woman Junior",$O870="Youth",$O870="Woman Youth"),ISERROR(MATCH($N870,Lge_Junior!$B:$B,0))),1,0))</f>
        <v/>
      </c>
      <c r="F870" s="2" t="str">
        <f>IF($G870="","",IF(AND(LEFT($O870,3)="You",ISERROR(MATCH($N870,Lge_Youth!$B:$B,0))),1,0))</f>
        <v/>
      </c>
      <c r="G870" s="3"/>
      <c r="H870" s="3"/>
      <c r="I870" s="3"/>
      <c r="J870" s="3"/>
      <c r="K870" s="6"/>
      <c r="L870" s="4"/>
      <c r="M870" s="4"/>
      <c r="N870" s="8"/>
      <c r="O870" s="8"/>
      <c r="P870" s="9"/>
      <c r="Q870" s="8"/>
      <c r="R870" s="8"/>
      <c r="S870" s="9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10"/>
    </row>
    <row r="871" spans="1:39" x14ac:dyDescent="0.2">
      <c r="A871" s="2" t="str">
        <f>IF($G871="","",IF(ISERROR(MATCH($N871,Lge_Scratch!$B:$B,0)),1,0))</f>
        <v/>
      </c>
      <c r="B871" s="2" t="str">
        <f>IF($G871="","",IF(AND(LEFT($Q871,8)="Non-aero",ISERROR(MATCH($N871,Lge_NonAero!$B:$B,0))),1,0))</f>
        <v/>
      </c>
      <c r="C871" s="5" t="str">
        <f>IF($G871="","",IF(AND(LEFT($O871,3)="Wom",ISERROR(MATCH($N871,Lge_Women!$B:$B,0))),1,0))</f>
        <v/>
      </c>
      <c r="D871" s="2" t="str">
        <f>IF($G871="","",IF(AND(OR($O871="Vet",$O871="Woman Vet"),ISERROR(MATCH($N871,Lge_Vets!$B:$B,0))),1,0))</f>
        <v/>
      </c>
      <c r="E871" s="2" t="str">
        <f>IF($G871="","",IF(AND(OR($O871="Junior",$O871="Woman Junior",$O871="Youth",$O871="Woman Youth"),ISERROR(MATCH($N871,Lge_Junior!$B:$B,0))),1,0))</f>
        <v/>
      </c>
      <c r="F871" s="2" t="str">
        <f>IF($G871="","",IF(AND(LEFT($O871,3)="You",ISERROR(MATCH($N871,Lge_Youth!$B:$B,0))),1,0))</f>
        <v/>
      </c>
      <c r="G871" s="3"/>
      <c r="H871" s="3"/>
      <c r="I871" s="3"/>
      <c r="J871" s="3"/>
      <c r="K871" s="6"/>
      <c r="L871" s="4"/>
      <c r="M871" s="4"/>
      <c r="N871" s="8"/>
      <c r="O871" s="8"/>
      <c r="P871" s="9"/>
      <c r="Q871" s="8"/>
      <c r="R871" s="8"/>
      <c r="S871" s="9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10"/>
    </row>
    <row r="872" spans="1:39" x14ac:dyDescent="0.2">
      <c r="A872" s="2" t="str">
        <f>IF($G872="","",IF(ISERROR(MATCH($N872,Lge_Scratch!$B:$B,0)),1,0))</f>
        <v/>
      </c>
      <c r="B872" s="2" t="str">
        <f>IF($G872="","",IF(AND(LEFT($Q872,8)="Non-aero",ISERROR(MATCH($N872,Lge_NonAero!$B:$B,0))),1,0))</f>
        <v/>
      </c>
      <c r="C872" s="5" t="str">
        <f>IF($G872="","",IF(AND(LEFT($O872,3)="Wom",ISERROR(MATCH($N872,Lge_Women!$B:$B,0))),1,0))</f>
        <v/>
      </c>
      <c r="D872" s="2" t="str">
        <f>IF($G872="","",IF(AND(OR($O872="Vet",$O872="Woman Vet"),ISERROR(MATCH($N872,Lge_Vets!$B:$B,0))),1,0))</f>
        <v/>
      </c>
      <c r="E872" s="2" t="str">
        <f>IF($G872="","",IF(AND(OR($O872="Junior",$O872="Woman Junior",$O872="Youth",$O872="Woman Youth"),ISERROR(MATCH($N872,Lge_Junior!$B:$B,0))),1,0))</f>
        <v/>
      </c>
      <c r="F872" s="2" t="str">
        <f>IF($G872="","",IF(AND(LEFT($O872,3)="You",ISERROR(MATCH($N872,Lge_Youth!$B:$B,0))),1,0))</f>
        <v/>
      </c>
      <c r="G872" s="3"/>
      <c r="H872" s="3"/>
      <c r="I872" s="3"/>
      <c r="J872" s="3"/>
      <c r="K872" s="6"/>
      <c r="L872" s="4"/>
      <c r="M872" s="4"/>
      <c r="N872" s="8"/>
      <c r="O872" s="8"/>
      <c r="P872" s="9"/>
      <c r="Q872" s="8"/>
      <c r="R872" s="8"/>
      <c r="S872" s="9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10"/>
    </row>
    <row r="873" spans="1:39" x14ac:dyDescent="0.2">
      <c r="A873" s="2" t="str">
        <f>IF($G873="","",IF(ISERROR(MATCH($N873,Lge_Scratch!$B:$B,0)),1,0))</f>
        <v/>
      </c>
      <c r="B873" s="2" t="str">
        <f>IF($G873="","",IF(AND(LEFT($Q873,8)="Non-aero",ISERROR(MATCH($N873,Lge_NonAero!$B:$B,0))),1,0))</f>
        <v/>
      </c>
      <c r="C873" s="5" t="str">
        <f>IF($G873="","",IF(AND(LEFT($O873,3)="Wom",ISERROR(MATCH($N873,Lge_Women!$B:$B,0))),1,0))</f>
        <v/>
      </c>
      <c r="D873" s="2" t="str">
        <f>IF($G873="","",IF(AND(OR($O873="Vet",$O873="Woman Vet"),ISERROR(MATCH($N873,Lge_Vets!$B:$B,0))),1,0))</f>
        <v/>
      </c>
      <c r="E873" s="2" t="str">
        <f>IF($G873="","",IF(AND(OR($O873="Junior",$O873="Woman Junior",$O873="Youth",$O873="Woman Youth"),ISERROR(MATCH($N873,Lge_Junior!$B:$B,0))),1,0))</f>
        <v/>
      </c>
      <c r="F873" s="2" t="str">
        <f>IF($G873="","",IF(AND(LEFT($O873,3)="You",ISERROR(MATCH($N873,Lge_Youth!$B:$B,0))),1,0))</f>
        <v/>
      </c>
      <c r="G873" s="3"/>
      <c r="H873" s="3"/>
      <c r="I873" s="3"/>
      <c r="J873" s="3"/>
      <c r="K873" s="6"/>
      <c r="L873" s="4"/>
      <c r="M873" s="4"/>
      <c r="N873" s="8"/>
      <c r="O873" s="8"/>
      <c r="P873" s="9"/>
      <c r="Q873" s="8"/>
      <c r="R873" s="8"/>
      <c r="S873" s="9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10"/>
    </row>
    <row r="874" spans="1:39" x14ac:dyDescent="0.2">
      <c r="A874" s="2" t="str">
        <f>IF($G874="","",IF(ISERROR(MATCH($N874,Lge_Scratch!$B:$B,0)),1,0))</f>
        <v/>
      </c>
      <c r="B874" s="2" t="str">
        <f>IF($G874="","",IF(AND(LEFT($Q874,8)="Non-aero",ISERROR(MATCH($N874,Lge_NonAero!$B:$B,0))),1,0))</f>
        <v/>
      </c>
      <c r="C874" s="5" t="str">
        <f>IF($G874="","",IF(AND(LEFT($O874,3)="Wom",ISERROR(MATCH($N874,Lge_Women!$B:$B,0))),1,0))</f>
        <v/>
      </c>
      <c r="D874" s="2" t="str">
        <f>IF($G874="","",IF(AND(OR($O874="Vet",$O874="Woman Vet"),ISERROR(MATCH($N874,Lge_Vets!$B:$B,0))),1,0))</f>
        <v/>
      </c>
      <c r="E874" s="2" t="str">
        <f>IF($G874="","",IF(AND(OR($O874="Junior",$O874="Woman Junior",$O874="Youth",$O874="Woman Youth"),ISERROR(MATCH($N874,Lge_Junior!$B:$B,0))),1,0))</f>
        <v/>
      </c>
      <c r="F874" s="2" t="str">
        <f>IF($G874="","",IF(AND(LEFT($O874,3)="You",ISERROR(MATCH($N874,Lge_Youth!$B:$B,0))),1,0))</f>
        <v/>
      </c>
      <c r="G874" s="3"/>
      <c r="H874" s="3"/>
      <c r="I874" s="3"/>
      <c r="J874" s="3"/>
      <c r="K874" s="6"/>
      <c r="L874" s="4"/>
      <c r="M874" s="4"/>
      <c r="N874" s="8"/>
      <c r="O874" s="8"/>
      <c r="P874" s="9"/>
      <c r="Q874" s="8"/>
      <c r="R874" s="8"/>
      <c r="S874" s="9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10"/>
    </row>
    <row r="875" spans="1:39" x14ac:dyDescent="0.2">
      <c r="A875" s="2" t="str">
        <f>IF($G875="","",IF(ISERROR(MATCH($N875,Lge_Scratch!$B:$B,0)),1,0))</f>
        <v/>
      </c>
      <c r="B875" s="2" t="str">
        <f>IF($G875="","",IF(AND(LEFT($Q875,8)="Non-aero",ISERROR(MATCH($N875,Lge_NonAero!$B:$B,0))),1,0))</f>
        <v/>
      </c>
      <c r="C875" s="5" t="str">
        <f>IF($G875="","",IF(AND(LEFT($O875,3)="Wom",ISERROR(MATCH($N875,Lge_Women!$B:$B,0))),1,0))</f>
        <v/>
      </c>
      <c r="D875" s="2" t="str">
        <f>IF($G875="","",IF(AND(OR($O875="Vet",$O875="Woman Vet"),ISERROR(MATCH($N875,Lge_Vets!$B:$B,0))),1,0))</f>
        <v/>
      </c>
      <c r="E875" s="2" t="str">
        <f>IF($G875="","",IF(AND(OR($O875="Junior",$O875="Woman Junior",$O875="Youth",$O875="Woman Youth"),ISERROR(MATCH($N875,Lge_Junior!$B:$B,0))),1,0))</f>
        <v/>
      </c>
      <c r="F875" s="2" t="str">
        <f>IF($G875="","",IF(AND(LEFT($O875,3)="You",ISERROR(MATCH($N875,Lge_Youth!$B:$B,0))),1,0))</f>
        <v/>
      </c>
      <c r="G875" s="3"/>
      <c r="H875" s="3"/>
      <c r="I875" s="3"/>
      <c r="J875" s="3"/>
      <c r="K875" s="6"/>
      <c r="L875" s="4"/>
      <c r="M875" s="4"/>
      <c r="N875" s="8"/>
      <c r="O875" s="8"/>
      <c r="P875" s="9"/>
      <c r="Q875" s="8"/>
      <c r="R875" s="8"/>
      <c r="S875" s="9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10"/>
    </row>
    <row r="876" spans="1:39" x14ac:dyDescent="0.2">
      <c r="A876" s="2" t="str">
        <f>IF($G876="","",IF(ISERROR(MATCH($N876,Lge_Scratch!$B:$B,0)),1,0))</f>
        <v/>
      </c>
      <c r="B876" s="2" t="str">
        <f>IF($G876="","",IF(AND(LEFT($Q876,8)="Non-aero",ISERROR(MATCH($N876,Lge_NonAero!$B:$B,0))),1,0))</f>
        <v/>
      </c>
      <c r="C876" s="5" t="str">
        <f>IF($G876="","",IF(AND(LEFT($O876,3)="Wom",ISERROR(MATCH($N876,Lge_Women!$B:$B,0))),1,0))</f>
        <v/>
      </c>
      <c r="D876" s="2" t="str">
        <f>IF($G876="","",IF(AND(OR($O876="Vet",$O876="Woman Vet"),ISERROR(MATCH($N876,Lge_Vets!$B:$B,0))),1,0))</f>
        <v/>
      </c>
      <c r="E876" s="2" t="str">
        <f>IF($G876="","",IF(AND(OR($O876="Junior",$O876="Woman Junior",$O876="Youth",$O876="Woman Youth"),ISERROR(MATCH($N876,Lge_Junior!$B:$B,0))),1,0))</f>
        <v/>
      </c>
      <c r="F876" s="2" t="str">
        <f>IF($G876="","",IF(AND(LEFT($O876,3)="You",ISERROR(MATCH($N876,Lge_Youth!$B:$B,0))),1,0))</f>
        <v/>
      </c>
      <c r="G876" s="3"/>
      <c r="H876" s="3"/>
      <c r="I876" s="3"/>
      <c r="J876" s="3"/>
      <c r="K876" s="6"/>
      <c r="L876" s="4"/>
      <c r="M876" s="4"/>
      <c r="N876" s="8"/>
      <c r="O876" s="8"/>
      <c r="P876" s="9"/>
      <c r="Q876" s="8"/>
      <c r="R876" s="8"/>
      <c r="S876" s="9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10"/>
    </row>
    <row r="877" spans="1:39" x14ac:dyDescent="0.2">
      <c r="A877" s="2" t="str">
        <f>IF($G877="","",IF(ISERROR(MATCH($N877,Lge_Scratch!$B:$B,0)),1,0))</f>
        <v/>
      </c>
      <c r="B877" s="2" t="str">
        <f>IF($G877="","",IF(AND(LEFT($Q877,8)="Non-aero",ISERROR(MATCH($N877,Lge_NonAero!$B:$B,0))),1,0))</f>
        <v/>
      </c>
      <c r="C877" s="5" t="str">
        <f>IF($G877="","",IF(AND(LEFT($O877,3)="Wom",ISERROR(MATCH($N877,Lge_Women!$B:$B,0))),1,0))</f>
        <v/>
      </c>
      <c r="D877" s="2" t="str">
        <f>IF($G877="","",IF(AND(OR($O877="Vet",$O877="Woman Vet"),ISERROR(MATCH($N877,Lge_Vets!$B:$B,0))),1,0))</f>
        <v/>
      </c>
      <c r="E877" s="2" t="str">
        <f>IF($G877="","",IF(AND(OR($O877="Junior",$O877="Woman Junior",$O877="Youth",$O877="Woman Youth"),ISERROR(MATCH($N877,Lge_Junior!$B:$B,0))),1,0))</f>
        <v/>
      </c>
      <c r="F877" s="2" t="str">
        <f>IF($G877="","",IF(AND(LEFT($O877,3)="You",ISERROR(MATCH($N877,Lge_Youth!$B:$B,0))),1,0))</f>
        <v/>
      </c>
      <c r="G877" s="3"/>
      <c r="H877" s="3"/>
      <c r="I877" s="3"/>
      <c r="J877" s="3"/>
      <c r="K877" s="6"/>
      <c r="L877" s="4"/>
      <c r="M877" s="4"/>
      <c r="N877" s="8"/>
      <c r="O877" s="8"/>
      <c r="P877" s="9"/>
      <c r="Q877" s="8"/>
      <c r="R877" s="8"/>
      <c r="S877" s="9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10"/>
    </row>
    <row r="878" spans="1:39" x14ac:dyDescent="0.2">
      <c r="A878" s="2" t="str">
        <f>IF($G878="","",IF(ISERROR(MATCH($N878,Lge_Scratch!$B:$B,0)),1,0))</f>
        <v/>
      </c>
      <c r="B878" s="2" t="str">
        <f>IF($G878="","",IF(AND(LEFT($Q878,8)="Non-aero",ISERROR(MATCH($N878,Lge_NonAero!$B:$B,0))),1,0))</f>
        <v/>
      </c>
      <c r="C878" s="5" t="str">
        <f>IF($G878="","",IF(AND(LEFT($O878,3)="Wom",ISERROR(MATCH($N878,Lge_Women!$B:$B,0))),1,0))</f>
        <v/>
      </c>
      <c r="D878" s="2" t="str">
        <f>IF($G878="","",IF(AND(OR($O878="Vet",$O878="Woman Vet"),ISERROR(MATCH($N878,Lge_Vets!$B:$B,0))),1,0))</f>
        <v/>
      </c>
      <c r="E878" s="2" t="str">
        <f>IF($G878="","",IF(AND(OR($O878="Junior",$O878="Woman Junior",$O878="Youth",$O878="Woman Youth"),ISERROR(MATCH($N878,Lge_Junior!$B:$B,0))),1,0))</f>
        <v/>
      </c>
      <c r="F878" s="2" t="str">
        <f>IF($G878="","",IF(AND(LEFT($O878,3)="You",ISERROR(MATCH($N878,Lge_Youth!$B:$B,0))),1,0))</f>
        <v/>
      </c>
      <c r="G878" s="3"/>
      <c r="H878" s="3"/>
      <c r="I878" s="3"/>
      <c r="J878" s="3"/>
      <c r="K878" s="6"/>
      <c r="L878" s="4"/>
      <c r="M878" s="4"/>
      <c r="N878" s="8"/>
      <c r="O878" s="8"/>
      <c r="P878" s="9"/>
      <c r="Q878" s="8"/>
      <c r="R878" s="8"/>
      <c r="S878" s="9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10"/>
    </row>
    <row r="879" spans="1:39" x14ac:dyDescent="0.2">
      <c r="A879" s="2" t="str">
        <f>IF($G879="","",IF(ISERROR(MATCH($N879,Lge_Scratch!$B:$B,0)),1,0))</f>
        <v/>
      </c>
      <c r="B879" s="2" t="str">
        <f>IF($G879="","",IF(AND(LEFT($Q879,8)="Non-aero",ISERROR(MATCH($N879,Lge_NonAero!$B:$B,0))),1,0))</f>
        <v/>
      </c>
      <c r="C879" s="5" t="str">
        <f>IF($G879="","",IF(AND(LEFT($O879,3)="Wom",ISERROR(MATCH($N879,Lge_Women!$B:$B,0))),1,0))</f>
        <v/>
      </c>
      <c r="D879" s="2" t="str">
        <f>IF($G879="","",IF(AND(OR($O879="Vet",$O879="Woman Vet"),ISERROR(MATCH($N879,Lge_Vets!$B:$B,0))),1,0))</f>
        <v/>
      </c>
      <c r="E879" s="2" t="str">
        <f>IF($G879="","",IF(AND(OR($O879="Junior",$O879="Woman Junior",$O879="Youth",$O879="Woman Youth"),ISERROR(MATCH($N879,Lge_Junior!$B:$B,0))),1,0))</f>
        <v/>
      </c>
      <c r="F879" s="2" t="str">
        <f>IF($G879="","",IF(AND(LEFT($O879,3)="You",ISERROR(MATCH($N879,Lge_Youth!$B:$B,0))),1,0))</f>
        <v/>
      </c>
      <c r="G879" s="3"/>
      <c r="H879" s="3"/>
      <c r="I879" s="3"/>
      <c r="J879" s="3"/>
      <c r="K879" s="6"/>
      <c r="L879" s="4"/>
      <c r="M879" s="4"/>
      <c r="N879" s="8"/>
      <c r="O879" s="8"/>
      <c r="P879" s="9"/>
      <c r="Q879" s="8"/>
      <c r="R879" s="8"/>
      <c r="S879" s="9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10"/>
    </row>
    <row r="880" spans="1:39" x14ac:dyDescent="0.2">
      <c r="A880" s="2" t="str">
        <f>IF($G880="","",IF(ISERROR(MATCH($N880,Lge_Scratch!$B:$B,0)),1,0))</f>
        <v/>
      </c>
      <c r="B880" s="2" t="str">
        <f>IF($G880="","",IF(AND(LEFT($Q880,8)="Non-aero",ISERROR(MATCH($N880,Lge_NonAero!$B:$B,0))),1,0))</f>
        <v/>
      </c>
      <c r="C880" s="5" t="str">
        <f>IF($G880="","",IF(AND(LEFT($O880,3)="Wom",ISERROR(MATCH($N880,Lge_Women!$B:$B,0))),1,0))</f>
        <v/>
      </c>
      <c r="D880" s="2" t="str">
        <f>IF($G880="","",IF(AND(OR($O880="Vet",$O880="Woman Vet"),ISERROR(MATCH($N880,Lge_Vets!$B:$B,0))),1,0))</f>
        <v/>
      </c>
      <c r="E880" s="2" t="str">
        <f>IF($G880="","",IF(AND(OR($O880="Junior",$O880="Woman Junior",$O880="Youth",$O880="Woman Youth"),ISERROR(MATCH($N880,Lge_Junior!$B:$B,0))),1,0))</f>
        <v/>
      </c>
      <c r="F880" s="2" t="str">
        <f>IF($G880="","",IF(AND(LEFT($O880,3)="You",ISERROR(MATCH($N880,Lge_Youth!$B:$B,0))),1,0))</f>
        <v/>
      </c>
      <c r="G880" s="3"/>
      <c r="H880" s="3"/>
      <c r="I880" s="3"/>
      <c r="J880" s="3"/>
      <c r="K880" s="6"/>
      <c r="L880" s="4"/>
      <c r="M880" s="4"/>
      <c r="N880" s="8"/>
      <c r="O880" s="8"/>
      <c r="P880" s="9"/>
      <c r="Q880" s="8"/>
      <c r="R880" s="8"/>
      <c r="S880" s="9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10"/>
    </row>
    <row r="881" spans="1:39" x14ac:dyDescent="0.2">
      <c r="A881" s="2" t="str">
        <f>IF($G881="","",IF(ISERROR(MATCH($N881,Lge_Scratch!$B:$B,0)),1,0))</f>
        <v/>
      </c>
      <c r="B881" s="2" t="str">
        <f>IF($G881="","",IF(AND(LEFT($Q881,8)="Non-aero",ISERROR(MATCH($N881,Lge_NonAero!$B:$B,0))),1,0))</f>
        <v/>
      </c>
      <c r="C881" s="5" t="str">
        <f>IF($G881="","",IF(AND(LEFT($O881,3)="Wom",ISERROR(MATCH($N881,Lge_Women!$B:$B,0))),1,0))</f>
        <v/>
      </c>
      <c r="D881" s="2" t="str">
        <f>IF($G881="","",IF(AND(OR($O881="Vet",$O881="Woman Vet"),ISERROR(MATCH($N881,Lge_Vets!$B:$B,0))),1,0))</f>
        <v/>
      </c>
      <c r="E881" s="2" t="str">
        <f>IF($G881="","",IF(AND(OR($O881="Junior",$O881="Woman Junior",$O881="Youth",$O881="Woman Youth"),ISERROR(MATCH($N881,Lge_Junior!$B:$B,0))),1,0))</f>
        <v/>
      </c>
      <c r="F881" s="2" t="str">
        <f>IF($G881="","",IF(AND(LEFT($O881,3)="You",ISERROR(MATCH($N881,Lge_Youth!$B:$B,0))),1,0))</f>
        <v/>
      </c>
      <c r="G881" s="3"/>
      <c r="H881" s="3"/>
      <c r="I881" s="3"/>
      <c r="J881" s="3"/>
      <c r="K881" s="6"/>
      <c r="L881" s="4"/>
      <c r="M881" s="4"/>
      <c r="N881" s="8"/>
      <c r="O881" s="8"/>
      <c r="P881" s="9"/>
      <c r="Q881" s="8"/>
      <c r="R881" s="8"/>
      <c r="S881" s="9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10"/>
    </row>
    <row r="882" spans="1:39" x14ac:dyDescent="0.2">
      <c r="A882" s="2" t="str">
        <f>IF($G882="","",IF(ISERROR(MATCH($N882,Lge_Scratch!$B:$B,0)),1,0))</f>
        <v/>
      </c>
      <c r="B882" s="2" t="str">
        <f>IF($G882="","",IF(AND(LEFT($Q882,8)="Non-aero",ISERROR(MATCH($N882,Lge_NonAero!$B:$B,0))),1,0))</f>
        <v/>
      </c>
      <c r="C882" s="5" t="str">
        <f>IF($G882="","",IF(AND(LEFT($O882,3)="Wom",ISERROR(MATCH($N882,Lge_Women!$B:$B,0))),1,0))</f>
        <v/>
      </c>
      <c r="D882" s="2" t="str">
        <f>IF($G882="","",IF(AND(OR($O882="Vet",$O882="Woman Vet"),ISERROR(MATCH($N882,Lge_Vets!$B:$B,0))),1,0))</f>
        <v/>
      </c>
      <c r="E882" s="2" t="str">
        <f>IF($G882="","",IF(AND(OR($O882="Junior",$O882="Woman Junior",$O882="Youth",$O882="Woman Youth"),ISERROR(MATCH($N882,Lge_Junior!$B:$B,0))),1,0))</f>
        <v/>
      </c>
      <c r="F882" s="2" t="str">
        <f>IF($G882="","",IF(AND(LEFT($O882,3)="You",ISERROR(MATCH($N882,Lge_Youth!$B:$B,0))),1,0))</f>
        <v/>
      </c>
      <c r="G882" s="3"/>
      <c r="H882" s="3"/>
      <c r="I882" s="3"/>
      <c r="J882" s="3"/>
      <c r="K882" s="6"/>
      <c r="L882" s="4"/>
      <c r="M882" s="4"/>
      <c r="N882" s="8"/>
      <c r="O882" s="8"/>
      <c r="P882" s="9"/>
      <c r="Q882" s="8"/>
      <c r="R882" s="8"/>
      <c r="S882" s="9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10"/>
    </row>
    <row r="883" spans="1:39" x14ac:dyDescent="0.2">
      <c r="A883" s="2" t="str">
        <f>IF($G883="","",IF(ISERROR(MATCH($N883,Lge_Scratch!$B:$B,0)),1,0))</f>
        <v/>
      </c>
      <c r="B883" s="2" t="str">
        <f>IF($G883="","",IF(AND(LEFT($Q883,8)="Non-aero",ISERROR(MATCH($N883,Lge_NonAero!$B:$B,0))),1,0))</f>
        <v/>
      </c>
      <c r="C883" s="5" t="str">
        <f>IF($G883="","",IF(AND(LEFT($O883,3)="Wom",ISERROR(MATCH($N883,Lge_Women!$B:$B,0))),1,0))</f>
        <v/>
      </c>
      <c r="D883" s="2" t="str">
        <f>IF($G883="","",IF(AND(OR($O883="Vet",$O883="Woman Vet"),ISERROR(MATCH($N883,Lge_Vets!$B:$B,0))),1,0))</f>
        <v/>
      </c>
      <c r="E883" s="2" t="str">
        <f>IF($G883="","",IF(AND(OR($O883="Junior",$O883="Woman Junior",$O883="Youth",$O883="Woman Youth"),ISERROR(MATCH($N883,Lge_Junior!$B:$B,0))),1,0))</f>
        <v/>
      </c>
      <c r="F883" s="2" t="str">
        <f>IF($G883="","",IF(AND(LEFT($O883,3)="You",ISERROR(MATCH($N883,Lge_Youth!$B:$B,0))),1,0))</f>
        <v/>
      </c>
      <c r="G883" s="3"/>
      <c r="H883" s="3"/>
      <c r="I883" s="3"/>
      <c r="J883" s="3"/>
      <c r="K883" s="6"/>
      <c r="L883" s="4"/>
      <c r="M883" s="4"/>
      <c r="N883" s="8"/>
      <c r="O883" s="8"/>
      <c r="P883" s="9"/>
      <c r="Q883" s="8"/>
      <c r="R883" s="8"/>
      <c r="S883" s="9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10"/>
    </row>
    <row r="884" spans="1:39" x14ac:dyDescent="0.2">
      <c r="A884" s="2" t="str">
        <f>IF($G884="","",IF(ISERROR(MATCH($N884,Lge_Scratch!$B:$B,0)),1,0))</f>
        <v/>
      </c>
      <c r="B884" s="2" t="str">
        <f>IF($G884="","",IF(AND(LEFT($Q884,8)="Non-aero",ISERROR(MATCH($N884,Lge_NonAero!$B:$B,0))),1,0))</f>
        <v/>
      </c>
      <c r="C884" s="5" t="str">
        <f>IF($G884="","",IF(AND(LEFT($O884,3)="Wom",ISERROR(MATCH($N884,Lge_Women!$B:$B,0))),1,0))</f>
        <v/>
      </c>
      <c r="D884" s="2" t="str">
        <f>IF($G884="","",IF(AND(OR($O884="Vet",$O884="Woman Vet"),ISERROR(MATCH($N884,Lge_Vets!$B:$B,0))),1,0))</f>
        <v/>
      </c>
      <c r="E884" s="2" t="str">
        <f>IF($G884="","",IF(AND(OR($O884="Junior",$O884="Woman Junior",$O884="Youth",$O884="Woman Youth"),ISERROR(MATCH($N884,Lge_Junior!$B:$B,0))),1,0))</f>
        <v/>
      </c>
      <c r="F884" s="2" t="str">
        <f>IF($G884="","",IF(AND(LEFT($O884,3)="You",ISERROR(MATCH($N884,Lge_Youth!$B:$B,0))),1,0))</f>
        <v/>
      </c>
      <c r="G884" s="3"/>
      <c r="H884" s="3"/>
      <c r="I884" s="3"/>
      <c r="J884" s="3"/>
      <c r="K884" s="6"/>
      <c r="L884" s="4"/>
      <c r="M884" s="4"/>
      <c r="N884" s="8"/>
      <c r="O884" s="8"/>
      <c r="P884" s="9"/>
      <c r="Q884" s="8"/>
      <c r="R884" s="8"/>
      <c r="S884" s="9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10"/>
    </row>
    <row r="885" spans="1:39" x14ac:dyDescent="0.2">
      <c r="A885" s="2" t="str">
        <f>IF($G885="","",IF(ISERROR(MATCH($N885,Lge_Scratch!$B:$B,0)),1,0))</f>
        <v/>
      </c>
      <c r="B885" s="2" t="str">
        <f>IF($G885="","",IF(AND(LEFT($Q885,8)="Non-aero",ISERROR(MATCH($N885,Lge_NonAero!$B:$B,0))),1,0))</f>
        <v/>
      </c>
      <c r="C885" s="5" t="str">
        <f>IF($G885="","",IF(AND(LEFT($O885,3)="Wom",ISERROR(MATCH($N885,Lge_Women!$B:$B,0))),1,0))</f>
        <v/>
      </c>
      <c r="D885" s="2" t="str">
        <f>IF($G885="","",IF(AND(OR($O885="Vet",$O885="Woman Vet"),ISERROR(MATCH($N885,Lge_Vets!$B:$B,0))),1,0))</f>
        <v/>
      </c>
      <c r="E885" s="2" t="str">
        <f>IF($G885="","",IF(AND(OR($O885="Junior",$O885="Woman Junior",$O885="Youth",$O885="Woman Youth"),ISERROR(MATCH($N885,Lge_Junior!$B:$B,0))),1,0))</f>
        <v/>
      </c>
      <c r="F885" s="2" t="str">
        <f>IF($G885="","",IF(AND(LEFT($O885,3)="You",ISERROR(MATCH($N885,Lge_Youth!$B:$B,0))),1,0))</f>
        <v/>
      </c>
      <c r="G885" s="3"/>
      <c r="H885" s="3"/>
      <c r="I885" s="3"/>
      <c r="J885" s="3"/>
      <c r="K885" s="6"/>
      <c r="L885" s="4"/>
      <c r="M885" s="4"/>
      <c r="N885" s="8"/>
      <c r="O885" s="8"/>
      <c r="P885" s="9"/>
      <c r="Q885" s="8"/>
      <c r="R885" s="8"/>
      <c r="S885" s="9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10"/>
    </row>
    <row r="886" spans="1:39" x14ac:dyDescent="0.2">
      <c r="A886" s="2" t="str">
        <f>IF($G886="","",IF(ISERROR(MATCH($N886,Lge_Scratch!$B:$B,0)),1,0))</f>
        <v/>
      </c>
      <c r="B886" s="2" t="str">
        <f>IF($G886="","",IF(AND(LEFT($Q886,8)="Non-aero",ISERROR(MATCH($N886,Lge_NonAero!$B:$B,0))),1,0))</f>
        <v/>
      </c>
      <c r="C886" s="5" t="str">
        <f>IF($G886="","",IF(AND(LEFT($O886,3)="Wom",ISERROR(MATCH($N886,Lge_Women!$B:$B,0))),1,0))</f>
        <v/>
      </c>
      <c r="D886" s="2" t="str">
        <f>IF($G886="","",IF(AND(OR($O886="Vet",$O886="Woman Vet"),ISERROR(MATCH($N886,Lge_Vets!$B:$B,0))),1,0))</f>
        <v/>
      </c>
      <c r="E886" s="2" t="str">
        <f>IF($G886="","",IF(AND(OR($O886="Junior",$O886="Woman Junior",$O886="Youth",$O886="Woman Youth"),ISERROR(MATCH($N886,Lge_Junior!$B:$B,0))),1,0))</f>
        <v/>
      </c>
      <c r="F886" s="2" t="str">
        <f>IF($G886="","",IF(AND(LEFT($O886,3)="You",ISERROR(MATCH($N886,Lge_Youth!$B:$B,0))),1,0))</f>
        <v/>
      </c>
      <c r="G886" s="3"/>
      <c r="H886" s="3"/>
      <c r="I886" s="3"/>
      <c r="J886" s="3"/>
      <c r="K886" s="6"/>
      <c r="L886" s="4"/>
      <c r="M886" s="4"/>
      <c r="N886" s="8"/>
      <c r="O886" s="8"/>
      <c r="P886" s="9"/>
      <c r="Q886" s="8"/>
      <c r="R886" s="8"/>
      <c r="S886" s="9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10"/>
    </row>
    <row r="887" spans="1:39" x14ac:dyDescent="0.2">
      <c r="A887" s="2" t="str">
        <f>IF($G887="","",IF(ISERROR(MATCH($N887,Lge_Scratch!$B:$B,0)),1,0))</f>
        <v/>
      </c>
      <c r="B887" s="2" t="str">
        <f>IF($G887="","",IF(AND(LEFT($Q887,8)="Non-aero",ISERROR(MATCH($N887,Lge_NonAero!$B:$B,0))),1,0))</f>
        <v/>
      </c>
      <c r="C887" s="5" t="str">
        <f>IF($G887="","",IF(AND(LEFT($O887,3)="Wom",ISERROR(MATCH($N887,Lge_Women!$B:$B,0))),1,0))</f>
        <v/>
      </c>
      <c r="D887" s="2" t="str">
        <f>IF($G887="","",IF(AND(OR($O887="Vet",$O887="Woman Vet"),ISERROR(MATCH($N887,Lge_Vets!$B:$B,0))),1,0))</f>
        <v/>
      </c>
      <c r="E887" s="2" t="str">
        <f>IF($G887="","",IF(AND(OR($O887="Junior",$O887="Woman Junior",$O887="Youth",$O887="Woman Youth"),ISERROR(MATCH($N887,Lge_Junior!$B:$B,0))),1,0))</f>
        <v/>
      </c>
      <c r="F887" s="2" t="str">
        <f>IF($G887="","",IF(AND(LEFT($O887,3)="You",ISERROR(MATCH($N887,Lge_Youth!$B:$B,0))),1,0))</f>
        <v/>
      </c>
      <c r="G887" s="3"/>
      <c r="H887" s="3"/>
      <c r="I887" s="3"/>
      <c r="J887" s="3"/>
      <c r="K887" s="6"/>
      <c r="L887" s="4"/>
      <c r="M887" s="4"/>
      <c r="N887" s="8"/>
      <c r="O887" s="8"/>
      <c r="P887" s="9"/>
      <c r="Q887" s="8"/>
      <c r="R887" s="8"/>
      <c r="S887" s="9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10"/>
    </row>
    <row r="888" spans="1:39" x14ac:dyDescent="0.2">
      <c r="A888" s="2" t="str">
        <f>IF($G888="","",IF(ISERROR(MATCH($N888,Lge_Scratch!$B:$B,0)),1,0))</f>
        <v/>
      </c>
      <c r="B888" s="2" t="str">
        <f>IF($G888="","",IF(AND(LEFT($Q888,8)="Non-aero",ISERROR(MATCH($N888,Lge_NonAero!$B:$B,0))),1,0))</f>
        <v/>
      </c>
      <c r="C888" s="5" t="str">
        <f>IF($G888="","",IF(AND(LEFT($O888,3)="Wom",ISERROR(MATCH($N888,Lge_Women!$B:$B,0))),1,0))</f>
        <v/>
      </c>
      <c r="D888" s="2" t="str">
        <f>IF($G888="","",IF(AND(OR($O888="Vet",$O888="Woman Vet"),ISERROR(MATCH($N888,Lge_Vets!$B:$B,0))),1,0))</f>
        <v/>
      </c>
      <c r="E888" s="2" t="str">
        <f>IF($G888="","",IF(AND(OR($O888="Junior",$O888="Woman Junior",$O888="Youth",$O888="Woman Youth"),ISERROR(MATCH($N888,Lge_Junior!$B:$B,0))),1,0))</f>
        <v/>
      </c>
      <c r="F888" s="2" t="str">
        <f>IF($G888="","",IF(AND(LEFT($O888,3)="You",ISERROR(MATCH($N888,Lge_Youth!$B:$B,0))),1,0))</f>
        <v/>
      </c>
      <c r="G888" s="3"/>
      <c r="H888" s="3"/>
      <c r="I888" s="3"/>
      <c r="J888" s="3"/>
      <c r="K888" s="6"/>
      <c r="L888" s="4"/>
      <c r="M888" s="4"/>
      <c r="N888" s="8"/>
      <c r="O888" s="8"/>
      <c r="P888" s="9"/>
      <c r="Q888" s="8"/>
      <c r="R888" s="8"/>
      <c r="S888" s="9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10"/>
    </row>
    <row r="889" spans="1:39" x14ac:dyDescent="0.2">
      <c r="A889" s="2" t="str">
        <f>IF($G889="","",IF(ISERROR(MATCH($N889,Lge_Scratch!$B:$B,0)),1,0))</f>
        <v/>
      </c>
      <c r="B889" s="2" t="str">
        <f>IF($G889="","",IF(AND(LEFT($Q889,8)="Non-aero",ISERROR(MATCH($N889,Lge_NonAero!$B:$B,0))),1,0))</f>
        <v/>
      </c>
      <c r="C889" s="5" t="str">
        <f>IF($G889="","",IF(AND(LEFT($O889,3)="Wom",ISERROR(MATCH($N889,Lge_Women!$B:$B,0))),1,0))</f>
        <v/>
      </c>
      <c r="D889" s="2" t="str">
        <f>IF($G889="","",IF(AND(OR($O889="Vet",$O889="Woman Vet"),ISERROR(MATCH($N889,Lge_Vets!$B:$B,0))),1,0))</f>
        <v/>
      </c>
      <c r="E889" s="2" t="str">
        <f>IF($G889="","",IF(AND(OR($O889="Junior",$O889="Woman Junior",$O889="Youth",$O889="Woman Youth"),ISERROR(MATCH($N889,Lge_Junior!$B:$B,0))),1,0))</f>
        <v/>
      </c>
      <c r="F889" s="2" t="str">
        <f>IF($G889="","",IF(AND(LEFT($O889,3)="You",ISERROR(MATCH($N889,Lge_Youth!$B:$B,0))),1,0))</f>
        <v/>
      </c>
      <c r="G889" s="3"/>
      <c r="H889" s="3"/>
      <c r="I889" s="3"/>
      <c r="J889" s="3"/>
      <c r="K889" s="6"/>
      <c r="L889" s="4"/>
      <c r="M889" s="4"/>
      <c r="N889" s="8"/>
      <c r="O889" s="8"/>
      <c r="P889" s="9"/>
      <c r="Q889" s="8"/>
      <c r="R889" s="8"/>
      <c r="S889" s="9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10"/>
    </row>
    <row r="890" spans="1:39" x14ac:dyDescent="0.2">
      <c r="A890" s="2" t="str">
        <f>IF($G890="","",IF(ISERROR(MATCH($N890,Lge_Scratch!$B:$B,0)),1,0))</f>
        <v/>
      </c>
      <c r="B890" s="2" t="str">
        <f>IF($G890="","",IF(AND(LEFT($Q890,8)="Non-aero",ISERROR(MATCH($N890,Lge_NonAero!$B:$B,0))),1,0))</f>
        <v/>
      </c>
      <c r="C890" s="5" t="str">
        <f>IF($G890="","",IF(AND(LEFT($O890,3)="Wom",ISERROR(MATCH($N890,Lge_Women!$B:$B,0))),1,0))</f>
        <v/>
      </c>
      <c r="D890" s="2" t="str">
        <f>IF($G890="","",IF(AND(OR($O890="Vet",$O890="Woman Vet"),ISERROR(MATCH($N890,Lge_Vets!$B:$B,0))),1,0))</f>
        <v/>
      </c>
      <c r="E890" s="2" t="str">
        <f>IF($G890="","",IF(AND(OR($O890="Junior",$O890="Woman Junior",$O890="Youth",$O890="Woman Youth"),ISERROR(MATCH($N890,Lge_Junior!$B:$B,0))),1,0))</f>
        <v/>
      </c>
      <c r="F890" s="2" t="str">
        <f>IF($G890="","",IF(AND(LEFT($O890,3)="You",ISERROR(MATCH($N890,Lge_Youth!$B:$B,0))),1,0))</f>
        <v/>
      </c>
      <c r="G890" s="3"/>
      <c r="H890" s="3"/>
      <c r="I890" s="3"/>
      <c r="J890" s="3"/>
      <c r="K890" s="6"/>
      <c r="L890" s="4"/>
      <c r="M890" s="4"/>
      <c r="N890" s="8"/>
      <c r="O890" s="8"/>
      <c r="P890" s="9"/>
      <c r="Q890" s="8"/>
      <c r="R890" s="8"/>
      <c r="S890" s="9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10"/>
    </row>
    <row r="891" spans="1:39" x14ac:dyDescent="0.2">
      <c r="A891" s="2" t="str">
        <f>IF($G891="","",IF(ISERROR(MATCH($N891,Lge_Scratch!$B:$B,0)),1,0))</f>
        <v/>
      </c>
      <c r="B891" s="2" t="str">
        <f>IF($G891="","",IF(AND(LEFT($Q891,8)="Non-aero",ISERROR(MATCH($N891,Lge_NonAero!$B:$B,0))),1,0))</f>
        <v/>
      </c>
      <c r="C891" s="5" t="str">
        <f>IF($G891="","",IF(AND(LEFT($O891,3)="Wom",ISERROR(MATCH($N891,Lge_Women!$B:$B,0))),1,0))</f>
        <v/>
      </c>
      <c r="D891" s="2" t="str">
        <f>IF($G891="","",IF(AND(OR($O891="Vet",$O891="Woman Vet"),ISERROR(MATCH($N891,Lge_Vets!$B:$B,0))),1,0))</f>
        <v/>
      </c>
      <c r="E891" s="2" t="str">
        <f>IF($G891="","",IF(AND(OR($O891="Junior",$O891="Woman Junior",$O891="Youth",$O891="Woman Youth"),ISERROR(MATCH($N891,Lge_Junior!$B:$B,0))),1,0))</f>
        <v/>
      </c>
      <c r="F891" s="2" t="str">
        <f>IF($G891="","",IF(AND(LEFT($O891,3)="You",ISERROR(MATCH($N891,Lge_Youth!$B:$B,0))),1,0))</f>
        <v/>
      </c>
      <c r="G891" s="3"/>
      <c r="H891" s="3"/>
      <c r="I891" s="3"/>
      <c r="J891" s="3"/>
      <c r="K891" s="6"/>
      <c r="L891" s="4"/>
      <c r="M891" s="4"/>
      <c r="N891" s="8"/>
      <c r="O891" s="8"/>
      <c r="P891" s="9"/>
      <c r="Q891" s="8"/>
      <c r="R891" s="8"/>
      <c r="S891" s="9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10"/>
    </row>
    <row r="892" spans="1:39" x14ac:dyDescent="0.2">
      <c r="A892" s="2" t="str">
        <f>IF($G892="","",IF(ISERROR(MATCH($N892,Lge_Scratch!$B:$B,0)),1,0))</f>
        <v/>
      </c>
      <c r="B892" s="2" t="str">
        <f>IF($G892="","",IF(AND(LEFT($Q892,8)="Non-aero",ISERROR(MATCH($N892,Lge_NonAero!$B:$B,0))),1,0))</f>
        <v/>
      </c>
      <c r="C892" s="5" t="str">
        <f>IF($G892="","",IF(AND(LEFT($O892,3)="Wom",ISERROR(MATCH($N892,Lge_Women!$B:$B,0))),1,0))</f>
        <v/>
      </c>
      <c r="D892" s="2" t="str">
        <f>IF($G892="","",IF(AND(OR($O892="Vet",$O892="Woman Vet"),ISERROR(MATCH($N892,Lge_Vets!$B:$B,0))),1,0))</f>
        <v/>
      </c>
      <c r="E892" s="2" t="str">
        <f>IF($G892="","",IF(AND(OR($O892="Junior",$O892="Woman Junior",$O892="Youth",$O892="Woman Youth"),ISERROR(MATCH($N892,Lge_Junior!$B:$B,0))),1,0))</f>
        <v/>
      </c>
      <c r="F892" s="2" t="str">
        <f>IF($G892="","",IF(AND(LEFT($O892,3)="You",ISERROR(MATCH($N892,Lge_Youth!$B:$B,0))),1,0))</f>
        <v/>
      </c>
      <c r="G892" s="3"/>
      <c r="H892" s="3"/>
      <c r="I892" s="3"/>
      <c r="J892" s="3"/>
      <c r="K892" s="6"/>
      <c r="L892" s="4"/>
      <c r="M892" s="4"/>
      <c r="N892" s="8"/>
      <c r="O892" s="8"/>
      <c r="P892" s="9"/>
      <c r="Q892" s="8"/>
      <c r="R892" s="8"/>
      <c r="S892" s="9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10"/>
    </row>
    <row r="893" spans="1:39" x14ac:dyDescent="0.2">
      <c r="A893" s="2" t="str">
        <f>IF($G893="","",IF(ISERROR(MATCH($N893,Lge_Scratch!$B:$B,0)),1,0))</f>
        <v/>
      </c>
      <c r="B893" s="2" t="str">
        <f>IF($G893="","",IF(AND(LEFT($Q893,8)="Non-aero",ISERROR(MATCH($N893,Lge_NonAero!$B:$B,0))),1,0))</f>
        <v/>
      </c>
      <c r="C893" s="5" t="str">
        <f>IF($G893="","",IF(AND(LEFT($O893,3)="Wom",ISERROR(MATCH($N893,Lge_Women!$B:$B,0))),1,0))</f>
        <v/>
      </c>
      <c r="D893" s="2" t="str">
        <f>IF($G893="","",IF(AND(OR($O893="Vet",$O893="Woman Vet"),ISERROR(MATCH($N893,Lge_Vets!$B:$B,0))),1,0))</f>
        <v/>
      </c>
      <c r="E893" s="2" t="str">
        <f>IF($G893="","",IF(AND(OR($O893="Junior",$O893="Woman Junior",$O893="Youth",$O893="Woman Youth"),ISERROR(MATCH($N893,Lge_Junior!$B:$B,0))),1,0))</f>
        <v/>
      </c>
      <c r="F893" s="2" t="str">
        <f>IF($G893="","",IF(AND(LEFT($O893,3)="You",ISERROR(MATCH($N893,Lge_Youth!$B:$B,0))),1,0))</f>
        <v/>
      </c>
      <c r="G893" s="3"/>
      <c r="H893" s="3"/>
      <c r="I893" s="3"/>
      <c r="J893" s="3"/>
      <c r="K893" s="6"/>
      <c r="L893" s="4"/>
      <c r="M893" s="4"/>
      <c r="N893" s="8"/>
      <c r="O893" s="8"/>
      <c r="P893" s="9"/>
      <c r="Q893" s="8"/>
      <c r="R893" s="8"/>
      <c r="S893" s="9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10"/>
    </row>
    <row r="894" spans="1:39" x14ac:dyDescent="0.2">
      <c r="A894" s="2" t="str">
        <f>IF($G894="","",IF(ISERROR(MATCH($N894,Lge_Scratch!$B:$B,0)),1,0))</f>
        <v/>
      </c>
      <c r="B894" s="2" t="str">
        <f>IF($G894="","",IF(AND(LEFT($Q894,8)="Non-aero",ISERROR(MATCH($N894,Lge_NonAero!$B:$B,0))),1,0))</f>
        <v/>
      </c>
      <c r="C894" s="5" t="str">
        <f>IF($G894="","",IF(AND(LEFT($O894,3)="Wom",ISERROR(MATCH($N894,Lge_Women!$B:$B,0))),1,0))</f>
        <v/>
      </c>
      <c r="D894" s="2" t="str">
        <f>IF($G894="","",IF(AND(OR($O894="Vet",$O894="Woman Vet"),ISERROR(MATCH($N894,Lge_Vets!$B:$B,0))),1,0))</f>
        <v/>
      </c>
      <c r="E894" s="2" t="str">
        <f>IF($G894="","",IF(AND(OR($O894="Junior",$O894="Woman Junior",$O894="Youth",$O894="Woman Youth"),ISERROR(MATCH($N894,Lge_Junior!$B:$B,0))),1,0))</f>
        <v/>
      </c>
      <c r="F894" s="2" t="str">
        <f>IF($G894="","",IF(AND(LEFT($O894,3)="You",ISERROR(MATCH($N894,Lge_Youth!$B:$B,0))),1,0))</f>
        <v/>
      </c>
      <c r="G894" s="3"/>
      <c r="H894" s="3"/>
      <c r="I894" s="3"/>
      <c r="J894" s="3"/>
      <c r="K894" s="6"/>
      <c r="L894" s="4"/>
      <c r="M894" s="4"/>
      <c r="N894" s="8"/>
      <c r="O894" s="8"/>
      <c r="P894" s="9"/>
      <c r="Q894" s="8"/>
      <c r="R894" s="8"/>
      <c r="S894" s="9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10"/>
    </row>
    <row r="895" spans="1:39" x14ac:dyDescent="0.2">
      <c r="A895" s="2" t="str">
        <f>IF($G895="","",IF(ISERROR(MATCH($N895,Lge_Scratch!$B:$B,0)),1,0))</f>
        <v/>
      </c>
      <c r="B895" s="2" t="str">
        <f>IF($G895="","",IF(AND(LEFT($Q895,8)="Non-aero",ISERROR(MATCH($N895,Lge_NonAero!$B:$B,0))),1,0))</f>
        <v/>
      </c>
      <c r="C895" s="5" t="str">
        <f>IF($G895="","",IF(AND(LEFT($O895,3)="Wom",ISERROR(MATCH($N895,Lge_Women!$B:$B,0))),1,0))</f>
        <v/>
      </c>
      <c r="D895" s="2" t="str">
        <f>IF($G895="","",IF(AND(OR($O895="Vet",$O895="Woman Vet"),ISERROR(MATCH($N895,Lge_Vets!$B:$B,0))),1,0))</f>
        <v/>
      </c>
      <c r="E895" s="2" t="str">
        <f>IF($G895="","",IF(AND(OR($O895="Junior",$O895="Woman Junior",$O895="Youth",$O895="Woman Youth"),ISERROR(MATCH($N895,Lge_Junior!$B:$B,0))),1,0))</f>
        <v/>
      </c>
      <c r="F895" s="2" t="str">
        <f>IF($G895="","",IF(AND(LEFT($O895,3)="You",ISERROR(MATCH($N895,Lge_Youth!$B:$B,0))),1,0))</f>
        <v/>
      </c>
      <c r="G895" s="3"/>
      <c r="H895" s="3"/>
      <c r="I895" s="3"/>
      <c r="J895" s="3"/>
      <c r="K895" s="6"/>
      <c r="L895" s="4"/>
      <c r="M895" s="4"/>
      <c r="N895" s="8"/>
      <c r="O895" s="8"/>
      <c r="P895" s="9"/>
      <c r="Q895" s="8"/>
      <c r="R895" s="8"/>
      <c r="S895" s="9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10"/>
    </row>
    <row r="896" spans="1:39" x14ac:dyDescent="0.2">
      <c r="A896" s="2" t="str">
        <f>IF($G896="","",IF(ISERROR(MATCH($N896,Lge_Scratch!$B:$B,0)),1,0))</f>
        <v/>
      </c>
      <c r="B896" s="2" t="str">
        <f>IF($G896="","",IF(AND(LEFT($Q896,8)="Non-aero",ISERROR(MATCH($N896,Lge_NonAero!$B:$B,0))),1,0))</f>
        <v/>
      </c>
      <c r="C896" s="5" t="str">
        <f>IF($G896="","",IF(AND(LEFT($O896,3)="Wom",ISERROR(MATCH($N896,Lge_Women!$B:$B,0))),1,0))</f>
        <v/>
      </c>
      <c r="D896" s="2" t="str">
        <f>IF($G896="","",IF(AND(OR($O896="Vet",$O896="Woman Vet"),ISERROR(MATCH($N896,Lge_Vets!$B:$B,0))),1,0))</f>
        <v/>
      </c>
      <c r="E896" s="2" t="str">
        <f>IF($G896="","",IF(AND(OR($O896="Junior",$O896="Woman Junior",$O896="Youth",$O896="Woman Youth"),ISERROR(MATCH($N896,Lge_Junior!$B:$B,0))),1,0))</f>
        <v/>
      </c>
      <c r="F896" s="2" t="str">
        <f>IF($G896="","",IF(AND(LEFT($O896,3)="You",ISERROR(MATCH($N896,Lge_Youth!$B:$B,0))),1,0))</f>
        <v/>
      </c>
      <c r="G896" s="3"/>
      <c r="H896" s="3"/>
      <c r="I896" s="3"/>
      <c r="J896" s="3"/>
      <c r="K896" s="6"/>
      <c r="L896" s="4"/>
      <c r="M896" s="4"/>
      <c r="N896" s="8"/>
      <c r="O896" s="8"/>
      <c r="P896" s="9"/>
      <c r="Q896" s="8"/>
      <c r="R896" s="8"/>
      <c r="S896" s="9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10"/>
    </row>
    <row r="897" spans="1:39" x14ac:dyDescent="0.2">
      <c r="A897" s="2" t="str">
        <f>IF($G897="","",IF(ISERROR(MATCH($N897,Lge_Scratch!$B:$B,0)),1,0))</f>
        <v/>
      </c>
      <c r="B897" s="2" t="str">
        <f>IF($G897="","",IF(AND(LEFT($Q897,8)="Non-aero",ISERROR(MATCH($N897,Lge_NonAero!$B:$B,0))),1,0))</f>
        <v/>
      </c>
      <c r="C897" s="5" t="str">
        <f>IF($G897="","",IF(AND(LEFT($O897,3)="Wom",ISERROR(MATCH($N897,Lge_Women!$B:$B,0))),1,0))</f>
        <v/>
      </c>
      <c r="D897" s="2" t="str">
        <f>IF($G897="","",IF(AND(OR($O897="Vet",$O897="Woman Vet"),ISERROR(MATCH($N897,Lge_Vets!$B:$B,0))),1,0))</f>
        <v/>
      </c>
      <c r="E897" s="2" t="str">
        <f>IF($G897="","",IF(AND(OR($O897="Junior",$O897="Woman Junior",$O897="Youth",$O897="Woman Youth"),ISERROR(MATCH($N897,Lge_Junior!$B:$B,0))),1,0))</f>
        <v/>
      </c>
      <c r="F897" s="2" t="str">
        <f>IF($G897="","",IF(AND(LEFT($O897,3)="You",ISERROR(MATCH($N897,Lge_Youth!$B:$B,0))),1,0))</f>
        <v/>
      </c>
      <c r="G897" s="3"/>
      <c r="H897" s="3"/>
      <c r="I897" s="3"/>
      <c r="J897" s="3"/>
      <c r="K897" s="6"/>
      <c r="L897" s="4"/>
      <c r="M897" s="4"/>
      <c r="N897" s="8"/>
      <c r="O897" s="8"/>
      <c r="P897" s="9"/>
      <c r="Q897" s="8"/>
      <c r="R897" s="8"/>
      <c r="S897" s="9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10"/>
    </row>
    <row r="898" spans="1:39" x14ac:dyDescent="0.2">
      <c r="A898" s="2" t="str">
        <f>IF($G898="","",IF(ISERROR(MATCH($N898,Lge_Scratch!$B:$B,0)),1,0))</f>
        <v/>
      </c>
      <c r="B898" s="2" t="str">
        <f>IF($G898="","",IF(AND(LEFT($Q898,8)="Non-aero",ISERROR(MATCH($N898,Lge_NonAero!$B:$B,0))),1,0))</f>
        <v/>
      </c>
      <c r="C898" s="5" t="str">
        <f>IF($G898="","",IF(AND(LEFT($O898,3)="Wom",ISERROR(MATCH($N898,Lge_Women!$B:$B,0))),1,0))</f>
        <v/>
      </c>
      <c r="D898" s="2" t="str">
        <f>IF($G898="","",IF(AND(OR($O898="Vet",$O898="Woman Vet"),ISERROR(MATCH($N898,Lge_Vets!$B:$B,0))),1,0))</f>
        <v/>
      </c>
      <c r="E898" s="2" t="str">
        <f>IF($G898="","",IF(AND(OR($O898="Junior",$O898="Woman Junior",$O898="Youth",$O898="Woman Youth"),ISERROR(MATCH($N898,Lge_Junior!$B:$B,0))),1,0))</f>
        <v/>
      </c>
      <c r="F898" s="2" t="str">
        <f>IF($G898="","",IF(AND(LEFT($O898,3)="You",ISERROR(MATCH($N898,Lge_Youth!$B:$B,0))),1,0))</f>
        <v/>
      </c>
      <c r="G898" s="3"/>
      <c r="H898" s="3"/>
      <c r="I898" s="3"/>
      <c r="J898" s="3"/>
      <c r="K898" s="6"/>
      <c r="L898" s="4"/>
      <c r="M898" s="4"/>
      <c r="N898" s="8"/>
      <c r="O898" s="8"/>
      <c r="P898" s="9"/>
      <c r="Q898" s="8"/>
      <c r="R898" s="8"/>
      <c r="S898" s="9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10"/>
    </row>
    <row r="899" spans="1:39" x14ac:dyDescent="0.2">
      <c r="A899" s="2" t="str">
        <f>IF($G899="","",IF(ISERROR(MATCH($N899,Lge_Scratch!$B:$B,0)),1,0))</f>
        <v/>
      </c>
      <c r="B899" s="2" t="str">
        <f>IF($G899="","",IF(AND(LEFT($Q899,8)="Non-aero",ISERROR(MATCH($N899,Lge_NonAero!$B:$B,0))),1,0))</f>
        <v/>
      </c>
      <c r="C899" s="5" t="str">
        <f>IF($G899="","",IF(AND(LEFT($O899,3)="Wom",ISERROR(MATCH($N899,Lge_Women!$B:$B,0))),1,0))</f>
        <v/>
      </c>
      <c r="D899" s="2" t="str">
        <f>IF($G899="","",IF(AND(OR($O899="Vet",$O899="Woman Vet"),ISERROR(MATCH($N899,Lge_Vets!$B:$B,0))),1,0))</f>
        <v/>
      </c>
      <c r="E899" s="2" t="str">
        <f>IF($G899="","",IF(AND(OR($O899="Junior",$O899="Woman Junior",$O899="Youth",$O899="Woman Youth"),ISERROR(MATCH($N899,Lge_Junior!$B:$B,0))),1,0))</f>
        <v/>
      </c>
      <c r="F899" s="2" t="str">
        <f>IF($G899="","",IF(AND(LEFT($O899,3)="You",ISERROR(MATCH($N899,Lge_Youth!$B:$B,0))),1,0))</f>
        <v/>
      </c>
      <c r="G899" s="3"/>
      <c r="H899" s="3"/>
      <c r="I899" s="3"/>
      <c r="J899" s="3"/>
      <c r="K899" s="6"/>
      <c r="L899" s="4"/>
      <c r="M899" s="4"/>
      <c r="N899" s="8"/>
      <c r="O899" s="8"/>
      <c r="P899" s="9"/>
      <c r="Q899" s="8"/>
      <c r="R899" s="8"/>
      <c r="S899" s="9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10"/>
    </row>
    <row r="900" spans="1:39" x14ac:dyDescent="0.2">
      <c r="A900" s="2" t="str">
        <f>IF($G900="","",IF(ISERROR(MATCH($N900,Lge_Scratch!$B:$B,0)),1,0))</f>
        <v/>
      </c>
      <c r="B900" s="2" t="str">
        <f>IF($G900="","",IF(AND(LEFT($Q900,8)="Non-aero",ISERROR(MATCH($N900,Lge_NonAero!$B:$B,0))),1,0))</f>
        <v/>
      </c>
      <c r="C900" s="5" t="str">
        <f>IF($G900="","",IF(AND(LEFT($O900,3)="Wom",ISERROR(MATCH($N900,Lge_Women!$B:$B,0))),1,0))</f>
        <v/>
      </c>
      <c r="D900" s="2" t="str">
        <f>IF($G900="","",IF(AND(OR($O900="Vet",$O900="Woman Vet"),ISERROR(MATCH($N900,Lge_Vets!$B:$B,0))),1,0))</f>
        <v/>
      </c>
      <c r="E900" s="2" t="str">
        <f>IF($G900="","",IF(AND(OR($O900="Junior",$O900="Woman Junior",$O900="Youth",$O900="Woman Youth"),ISERROR(MATCH($N900,Lge_Junior!$B:$B,0))),1,0))</f>
        <v/>
      </c>
      <c r="F900" s="2" t="str">
        <f>IF($G900="","",IF(AND(LEFT($O900,3)="You",ISERROR(MATCH($N900,Lge_Youth!$B:$B,0))),1,0))</f>
        <v/>
      </c>
      <c r="G900" s="3"/>
      <c r="H900" s="3"/>
      <c r="I900" s="3"/>
      <c r="J900" s="3"/>
      <c r="K900" s="6"/>
      <c r="L900" s="4"/>
      <c r="M900" s="4"/>
      <c r="N900" s="8"/>
      <c r="O900" s="8"/>
      <c r="P900" s="9"/>
      <c r="Q900" s="8"/>
      <c r="R900" s="8"/>
      <c r="S900" s="9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10"/>
    </row>
    <row r="901" spans="1:39" x14ac:dyDescent="0.2">
      <c r="A901" s="2" t="str">
        <f>IF($G901="","",IF(ISERROR(MATCH($N901,Lge_Scratch!$B:$B,0)),1,0))</f>
        <v/>
      </c>
      <c r="B901" s="2" t="str">
        <f>IF($G901="","",IF(AND(LEFT($Q901,8)="Non-aero",ISERROR(MATCH($N901,Lge_NonAero!$B:$B,0))),1,0))</f>
        <v/>
      </c>
      <c r="C901" s="5" t="str">
        <f>IF($G901="","",IF(AND(LEFT($O901,3)="Wom",ISERROR(MATCH($N901,Lge_Women!$B:$B,0))),1,0))</f>
        <v/>
      </c>
      <c r="D901" s="2" t="str">
        <f>IF($G901="","",IF(AND(OR($O901="Vet",$O901="Woman Vet"),ISERROR(MATCH($N901,Lge_Vets!$B:$B,0))),1,0))</f>
        <v/>
      </c>
      <c r="E901" s="2" t="str">
        <f>IF($G901="","",IF(AND(OR($O901="Junior",$O901="Woman Junior",$O901="Youth",$O901="Woman Youth"),ISERROR(MATCH($N901,Lge_Junior!$B:$B,0))),1,0))</f>
        <v/>
      </c>
      <c r="F901" s="2" t="str">
        <f>IF($G901="","",IF(AND(LEFT($O901,3)="You",ISERROR(MATCH($N901,Lge_Youth!$B:$B,0))),1,0))</f>
        <v/>
      </c>
      <c r="G901" s="3"/>
      <c r="H901" s="3"/>
      <c r="I901" s="3"/>
      <c r="J901" s="3"/>
      <c r="K901" s="6"/>
      <c r="L901" s="4"/>
      <c r="M901" s="4"/>
      <c r="N901" s="8"/>
      <c r="O901" s="8"/>
      <c r="P901" s="9"/>
      <c r="Q901" s="8"/>
      <c r="R901" s="8"/>
      <c r="S901" s="9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10"/>
    </row>
    <row r="902" spans="1:39" x14ac:dyDescent="0.2">
      <c r="A902" s="2" t="str">
        <f>IF($G902="","",IF(ISERROR(MATCH($N902,Lge_Scratch!$B:$B,0)),1,0))</f>
        <v/>
      </c>
      <c r="B902" s="2" t="str">
        <f>IF($G902="","",IF(AND(LEFT($Q902,8)="Non-aero",ISERROR(MATCH($N902,Lge_NonAero!$B:$B,0))),1,0))</f>
        <v/>
      </c>
      <c r="C902" s="5" t="str">
        <f>IF($G902="","",IF(AND(LEFT($O902,3)="Wom",ISERROR(MATCH($N902,Lge_Women!$B:$B,0))),1,0))</f>
        <v/>
      </c>
      <c r="D902" s="2" t="str">
        <f>IF($G902="","",IF(AND(OR($O902="Vet",$O902="Woman Vet"),ISERROR(MATCH($N902,Lge_Vets!$B:$B,0))),1,0))</f>
        <v/>
      </c>
      <c r="E902" s="2" t="str">
        <f>IF($G902="","",IF(AND(OR($O902="Junior",$O902="Woman Junior",$O902="Youth",$O902="Woman Youth"),ISERROR(MATCH($N902,Lge_Junior!$B:$B,0))),1,0))</f>
        <v/>
      </c>
      <c r="F902" s="2" t="str">
        <f>IF($G902="","",IF(AND(LEFT($O902,3)="You",ISERROR(MATCH($N902,Lge_Youth!$B:$B,0))),1,0))</f>
        <v/>
      </c>
      <c r="G902" s="3"/>
      <c r="H902" s="3"/>
      <c r="I902" s="3"/>
      <c r="J902" s="3"/>
      <c r="K902" s="6"/>
      <c r="L902" s="4"/>
      <c r="M902" s="4"/>
      <c r="N902" s="8"/>
      <c r="O902" s="8"/>
      <c r="P902" s="9"/>
      <c r="Q902" s="8"/>
      <c r="R902" s="8"/>
      <c r="S902" s="9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10"/>
    </row>
    <row r="903" spans="1:39" x14ac:dyDescent="0.2">
      <c r="A903" s="2" t="str">
        <f>IF($G903="","",IF(ISERROR(MATCH($N903,Lge_Scratch!$B:$B,0)),1,0))</f>
        <v/>
      </c>
      <c r="B903" s="2" t="str">
        <f>IF($G903="","",IF(AND(LEFT($Q903,8)="Non-aero",ISERROR(MATCH($N903,Lge_NonAero!$B:$B,0))),1,0))</f>
        <v/>
      </c>
      <c r="C903" s="5" t="str">
        <f>IF($G903="","",IF(AND(LEFT($O903,3)="Wom",ISERROR(MATCH($N903,Lge_Women!$B:$B,0))),1,0))</f>
        <v/>
      </c>
      <c r="D903" s="2" t="str">
        <f>IF($G903="","",IF(AND(OR($O903="Vet",$O903="Woman Vet"),ISERROR(MATCH($N903,Lge_Vets!$B:$B,0))),1,0))</f>
        <v/>
      </c>
      <c r="E903" s="2" t="str">
        <f>IF($G903="","",IF(AND(OR($O903="Junior",$O903="Woman Junior",$O903="Youth",$O903="Woman Youth"),ISERROR(MATCH($N903,Lge_Junior!$B:$B,0))),1,0))</f>
        <v/>
      </c>
      <c r="F903" s="2" t="str">
        <f>IF($G903="","",IF(AND(LEFT($O903,3)="You",ISERROR(MATCH($N903,Lge_Youth!$B:$B,0))),1,0))</f>
        <v/>
      </c>
      <c r="G903" s="3"/>
      <c r="H903" s="3"/>
      <c r="I903" s="3"/>
      <c r="J903" s="3"/>
      <c r="K903" s="6"/>
      <c r="L903" s="4"/>
      <c r="M903" s="4"/>
      <c r="N903" s="8"/>
      <c r="O903" s="8"/>
      <c r="P903" s="9"/>
      <c r="Q903" s="8"/>
      <c r="R903" s="8"/>
      <c r="S903" s="9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10"/>
    </row>
    <row r="904" spans="1:39" x14ac:dyDescent="0.2">
      <c r="A904" s="2" t="str">
        <f>IF($G904="","",IF(ISERROR(MATCH($N904,Lge_Scratch!$B:$B,0)),1,0))</f>
        <v/>
      </c>
      <c r="B904" s="2" t="str">
        <f>IF($G904="","",IF(AND(LEFT($Q904,8)="Non-aero",ISERROR(MATCH($N904,Lge_NonAero!$B:$B,0))),1,0))</f>
        <v/>
      </c>
      <c r="C904" s="5" t="str">
        <f>IF($G904="","",IF(AND(LEFT($O904,3)="Wom",ISERROR(MATCH($N904,Lge_Women!$B:$B,0))),1,0))</f>
        <v/>
      </c>
      <c r="D904" s="2" t="str">
        <f>IF($G904="","",IF(AND(OR($O904="Vet",$O904="Woman Vet"),ISERROR(MATCH($N904,Lge_Vets!$B:$B,0))),1,0))</f>
        <v/>
      </c>
      <c r="E904" s="2" t="str">
        <f>IF($G904="","",IF(AND(OR($O904="Junior",$O904="Woman Junior",$O904="Youth",$O904="Woman Youth"),ISERROR(MATCH($N904,Lge_Junior!$B:$B,0))),1,0))</f>
        <v/>
      </c>
      <c r="F904" s="2" t="str">
        <f>IF($G904="","",IF(AND(LEFT($O904,3)="You",ISERROR(MATCH($N904,Lge_Youth!$B:$B,0))),1,0))</f>
        <v/>
      </c>
      <c r="G904" s="3"/>
      <c r="H904" s="3"/>
      <c r="I904" s="3"/>
      <c r="J904" s="3"/>
      <c r="K904" s="6"/>
      <c r="L904" s="4"/>
      <c r="M904" s="4"/>
      <c r="N904" s="8"/>
      <c r="O904" s="8"/>
      <c r="P904" s="9"/>
      <c r="Q904" s="8"/>
      <c r="R904" s="8"/>
      <c r="S904" s="9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10"/>
    </row>
    <row r="905" spans="1:39" x14ac:dyDescent="0.2">
      <c r="A905" s="2" t="str">
        <f>IF($G905="","",IF(ISERROR(MATCH($N905,Lge_Scratch!$B:$B,0)),1,0))</f>
        <v/>
      </c>
      <c r="B905" s="2" t="str">
        <f>IF($G905="","",IF(AND(LEFT($Q905,8)="Non-aero",ISERROR(MATCH($N905,Lge_NonAero!$B:$B,0))),1,0))</f>
        <v/>
      </c>
      <c r="C905" s="5" t="str">
        <f>IF($G905="","",IF(AND(LEFT($O905,3)="Wom",ISERROR(MATCH($N905,Lge_Women!$B:$B,0))),1,0))</f>
        <v/>
      </c>
      <c r="D905" s="2" t="str">
        <f>IF($G905="","",IF(AND(OR($O905="Vet",$O905="Woman Vet"),ISERROR(MATCH($N905,Lge_Vets!$B:$B,0))),1,0))</f>
        <v/>
      </c>
      <c r="E905" s="2" t="str">
        <f>IF($G905="","",IF(AND(OR($O905="Junior",$O905="Woman Junior",$O905="Youth",$O905="Woman Youth"),ISERROR(MATCH($N905,Lge_Junior!$B:$B,0))),1,0))</f>
        <v/>
      </c>
      <c r="F905" s="2" t="str">
        <f>IF($G905="","",IF(AND(LEFT($O905,3)="You",ISERROR(MATCH($N905,Lge_Youth!$B:$B,0))),1,0))</f>
        <v/>
      </c>
      <c r="G905" s="3"/>
      <c r="H905" s="3"/>
      <c r="I905" s="3"/>
      <c r="J905" s="3"/>
      <c r="K905" s="6"/>
      <c r="L905" s="4"/>
      <c r="M905" s="4"/>
      <c r="N905" s="8"/>
      <c r="O905" s="8"/>
      <c r="P905" s="9"/>
      <c r="Q905" s="8"/>
      <c r="R905" s="8"/>
      <c r="S905" s="9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10"/>
    </row>
    <row r="906" spans="1:39" x14ac:dyDescent="0.2">
      <c r="A906" s="2" t="str">
        <f>IF($G906="","",IF(ISERROR(MATCH($N906,Lge_Scratch!$B:$B,0)),1,0))</f>
        <v/>
      </c>
      <c r="B906" s="2" t="str">
        <f>IF($G906="","",IF(AND(LEFT($Q906,8)="Non-aero",ISERROR(MATCH($N906,Lge_NonAero!$B:$B,0))),1,0))</f>
        <v/>
      </c>
      <c r="C906" s="5" t="str">
        <f>IF($G906="","",IF(AND(LEFT($O906,3)="Wom",ISERROR(MATCH($N906,Lge_Women!$B:$B,0))),1,0))</f>
        <v/>
      </c>
      <c r="D906" s="2" t="str">
        <f>IF($G906="","",IF(AND(OR($O906="Vet",$O906="Woman Vet"),ISERROR(MATCH($N906,Lge_Vets!$B:$B,0))),1,0))</f>
        <v/>
      </c>
      <c r="E906" s="2" t="str">
        <f>IF($G906="","",IF(AND(OR($O906="Junior",$O906="Woman Junior",$O906="Youth",$O906="Woman Youth"),ISERROR(MATCH($N906,Lge_Junior!$B:$B,0))),1,0))</f>
        <v/>
      </c>
      <c r="F906" s="2" t="str">
        <f>IF($G906="","",IF(AND(LEFT($O906,3)="You",ISERROR(MATCH($N906,Lge_Youth!$B:$B,0))),1,0))</f>
        <v/>
      </c>
      <c r="G906" s="3"/>
      <c r="H906" s="3"/>
      <c r="I906" s="3"/>
      <c r="J906" s="3"/>
      <c r="K906" s="6"/>
      <c r="L906" s="4"/>
      <c r="M906" s="4"/>
      <c r="N906" s="8"/>
      <c r="O906" s="8"/>
      <c r="P906" s="9"/>
      <c r="Q906" s="8"/>
      <c r="R906" s="8"/>
      <c r="S906" s="9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10"/>
    </row>
    <row r="907" spans="1:39" x14ac:dyDescent="0.2">
      <c r="A907" s="2" t="str">
        <f>IF($G907="","",IF(ISERROR(MATCH($N907,Lge_Scratch!$B:$B,0)),1,0))</f>
        <v/>
      </c>
      <c r="B907" s="2" t="str">
        <f>IF($G907="","",IF(AND(LEFT($Q907,8)="Non-aero",ISERROR(MATCH($N907,Lge_NonAero!$B:$B,0))),1,0))</f>
        <v/>
      </c>
      <c r="C907" s="5" t="str">
        <f>IF($G907="","",IF(AND(LEFT($O907,3)="Wom",ISERROR(MATCH($N907,Lge_Women!$B:$B,0))),1,0))</f>
        <v/>
      </c>
      <c r="D907" s="2" t="str">
        <f>IF($G907="","",IF(AND(OR($O907="Vet",$O907="Woman Vet"),ISERROR(MATCH($N907,Lge_Vets!$B:$B,0))),1,0))</f>
        <v/>
      </c>
      <c r="E907" s="2" t="str">
        <f>IF($G907="","",IF(AND(OR($O907="Junior",$O907="Woman Junior",$O907="Youth",$O907="Woman Youth"),ISERROR(MATCH($N907,Lge_Junior!$B:$B,0))),1,0))</f>
        <v/>
      </c>
      <c r="F907" s="2" t="str">
        <f>IF($G907="","",IF(AND(LEFT($O907,3)="You",ISERROR(MATCH($N907,Lge_Youth!$B:$B,0))),1,0))</f>
        <v/>
      </c>
      <c r="G907" s="3"/>
      <c r="H907" s="3"/>
      <c r="I907" s="3"/>
      <c r="J907" s="3"/>
      <c r="K907" s="6"/>
      <c r="L907" s="4"/>
      <c r="M907" s="4"/>
      <c r="N907" s="8"/>
      <c r="O907" s="8"/>
      <c r="P907" s="9"/>
      <c r="Q907" s="8"/>
      <c r="R907" s="8"/>
      <c r="S907" s="9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10"/>
    </row>
    <row r="908" spans="1:39" x14ac:dyDescent="0.2">
      <c r="A908" s="2" t="str">
        <f>IF($G908="","",IF(ISERROR(MATCH($N908,Lge_Scratch!$B:$B,0)),1,0))</f>
        <v/>
      </c>
      <c r="B908" s="2" t="str">
        <f>IF($G908="","",IF(AND(LEFT($Q908,8)="Non-aero",ISERROR(MATCH($N908,Lge_NonAero!$B:$B,0))),1,0))</f>
        <v/>
      </c>
      <c r="C908" s="5" t="str">
        <f>IF($G908="","",IF(AND(LEFT($O908,3)="Wom",ISERROR(MATCH($N908,Lge_Women!$B:$B,0))),1,0))</f>
        <v/>
      </c>
      <c r="D908" s="2" t="str">
        <f>IF($G908="","",IF(AND(OR($O908="Vet",$O908="Woman Vet"),ISERROR(MATCH($N908,Lge_Vets!$B:$B,0))),1,0))</f>
        <v/>
      </c>
      <c r="E908" s="2" t="str">
        <f>IF($G908="","",IF(AND(OR($O908="Junior",$O908="Woman Junior",$O908="Youth",$O908="Woman Youth"),ISERROR(MATCH($N908,Lge_Junior!$B:$B,0))),1,0))</f>
        <v/>
      </c>
      <c r="F908" s="2" t="str">
        <f>IF($G908="","",IF(AND(LEFT($O908,3)="You",ISERROR(MATCH($N908,Lge_Youth!$B:$B,0))),1,0))</f>
        <v/>
      </c>
      <c r="G908" s="3"/>
      <c r="H908" s="3"/>
      <c r="I908" s="3"/>
      <c r="J908" s="3"/>
      <c r="K908" s="6"/>
      <c r="L908" s="4"/>
      <c r="M908" s="4"/>
      <c r="N908" s="8"/>
      <c r="O908" s="8"/>
      <c r="P908" s="9"/>
      <c r="Q908" s="8"/>
      <c r="R908" s="8"/>
      <c r="S908" s="9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10"/>
    </row>
    <row r="909" spans="1:39" x14ac:dyDescent="0.2">
      <c r="A909" s="2" t="str">
        <f>IF($G909="","",IF(ISERROR(MATCH($N909,Lge_Scratch!$B:$B,0)),1,0))</f>
        <v/>
      </c>
      <c r="B909" s="2" t="str">
        <f>IF($G909="","",IF(AND(LEFT($Q909,8)="Non-aero",ISERROR(MATCH($N909,Lge_NonAero!$B:$B,0))),1,0))</f>
        <v/>
      </c>
      <c r="C909" s="5" t="str">
        <f>IF($G909="","",IF(AND(LEFT($O909,3)="Wom",ISERROR(MATCH($N909,Lge_Women!$B:$B,0))),1,0))</f>
        <v/>
      </c>
      <c r="D909" s="2" t="str">
        <f>IF($G909="","",IF(AND(OR($O909="Vet",$O909="Woman Vet"),ISERROR(MATCH($N909,Lge_Vets!$B:$B,0))),1,0))</f>
        <v/>
      </c>
      <c r="E909" s="2" t="str">
        <f>IF($G909="","",IF(AND(OR($O909="Junior",$O909="Woman Junior",$O909="Youth",$O909="Woman Youth"),ISERROR(MATCH($N909,Lge_Junior!$B:$B,0))),1,0))</f>
        <v/>
      </c>
      <c r="F909" s="2" t="str">
        <f>IF($G909="","",IF(AND(LEFT($O909,3)="You",ISERROR(MATCH($N909,Lge_Youth!$B:$B,0))),1,0))</f>
        <v/>
      </c>
      <c r="G909" s="3"/>
      <c r="H909" s="3"/>
      <c r="I909" s="3"/>
      <c r="J909" s="3"/>
      <c r="K909" s="6"/>
      <c r="L909" s="4"/>
      <c r="M909" s="4"/>
      <c r="N909" s="8"/>
      <c r="O909" s="8"/>
      <c r="P909" s="9"/>
      <c r="Q909" s="8"/>
      <c r="R909" s="8"/>
      <c r="S909" s="9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10"/>
    </row>
    <row r="910" spans="1:39" x14ac:dyDescent="0.2">
      <c r="A910" s="2" t="str">
        <f>IF($G910="","",IF(ISERROR(MATCH($N910,Lge_Scratch!$B:$B,0)),1,0))</f>
        <v/>
      </c>
      <c r="B910" s="2" t="str">
        <f>IF($G910="","",IF(AND(LEFT($Q910,8)="Non-aero",ISERROR(MATCH($N910,Lge_NonAero!$B:$B,0))),1,0))</f>
        <v/>
      </c>
      <c r="C910" s="5" t="str">
        <f>IF($G910="","",IF(AND(LEFT($O910,3)="Wom",ISERROR(MATCH($N910,Lge_Women!$B:$B,0))),1,0))</f>
        <v/>
      </c>
      <c r="D910" s="2" t="str">
        <f>IF($G910="","",IF(AND(OR($O910="Vet",$O910="Woman Vet"),ISERROR(MATCH($N910,Lge_Vets!$B:$B,0))),1,0))</f>
        <v/>
      </c>
      <c r="E910" s="2" t="str">
        <f>IF($G910="","",IF(AND(OR($O910="Junior",$O910="Woman Junior",$O910="Youth",$O910="Woman Youth"),ISERROR(MATCH($N910,Lge_Junior!$B:$B,0))),1,0))</f>
        <v/>
      </c>
      <c r="F910" s="2" t="str">
        <f>IF($G910="","",IF(AND(LEFT($O910,3)="You",ISERROR(MATCH($N910,Lge_Youth!$B:$B,0))),1,0))</f>
        <v/>
      </c>
      <c r="G910" s="3"/>
      <c r="H910" s="3"/>
      <c r="I910" s="3"/>
      <c r="J910" s="3"/>
      <c r="K910" s="6"/>
      <c r="L910" s="4"/>
      <c r="M910" s="4"/>
      <c r="N910" s="8"/>
      <c r="O910" s="8"/>
      <c r="P910" s="9"/>
      <c r="Q910" s="8"/>
      <c r="R910" s="8"/>
      <c r="S910" s="9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10"/>
    </row>
    <row r="911" spans="1:39" x14ac:dyDescent="0.2">
      <c r="A911" s="2" t="str">
        <f>IF($G911="","",IF(ISERROR(MATCH($N911,Lge_Scratch!$B:$B,0)),1,0))</f>
        <v/>
      </c>
      <c r="B911" s="2" t="str">
        <f>IF($G911="","",IF(AND(LEFT($Q911,8)="Non-aero",ISERROR(MATCH($N911,Lge_NonAero!$B:$B,0))),1,0))</f>
        <v/>
      </c>
      <c r="C911" s="5" t="str">
        <f>IF($G911="","",IF(AND(LEFT($O911,3)="Wom",ISERROR(MATCH($N911,Lge_Women!$B:$B,0))),1,0))</f>
        <v/>
      </c>
      <c r="D911" s="2" t="str">
        <f>IF($G911="","",IF(AND(OR($O911="Vet",$O911="Woman Vet"),ISERROR(MATCH($N911,Lge_Vets!$B:$B,0))),1,0))</f>
        <v/>
      </c>
      <c r="E911" s="2" t="str">
        <f>IF($G911="","",IF(AND(OR($O911="Junior",$O911="Woman Junior",$O911="Youth",$O911="Woman Youth"),ISERROR(MATCH($N911,Lge_Junior!$B:$B,0))),1,0))</f>
        <v/>
      </c>
      <c r="F911" s="2" t="str">
        <f>IF($G911="","",IF(AND(LEFT($O911,3)="You",ISERROR(MATCH($N911,Lge_Youth!$B:$B,0))),1,0))</f>
        <v/>
      </c>
      <c r="G911" s="3"/>
      <c r="H911" s="3"/>
      <c r="I911" s="3"/>
      <c r="J911" s="3"/>
      <c r="K911" s="6"/>
      <c r="L911" s="4"/>
      <c r="M911" s="4"/>
      <c r="N911" s="8"/>
      <c r="O911" s="8"/>
      <c r="P911" s="9"/>
      <c r="Q911" s="8"/>
      <c r="R911" s="8"/>
      <c r="S911" s="9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10"/>
    </row>
    <row r="912" spans="1:39" x14ac:dyDescent="0.2">
      <c r="A912" s="2" t="str">
        <f>IF($G912="","",IF(ISERROR(MATCH($N912,Lge_Scratch!$B:$B,0)),1,0))</f>
        <v/>
      </c>
      <c r="B912" s="2" t="str">
        <f>IF($G912="","",IF(AND(LEFT($Q912,8)="Non-aero",ISERROR(MATCH($N912,Lge_NonAero!$B:$B,0))),1,0))</f>
        <v/>
      </c>
      <c r="C912" s="5" t="str">
        <f>IF($G912="","",IF(AND(LEFT($O912,3)="Wom",ISERROR(MATCH($N912,Lge_Women!$B:$B,0))),1,0))</f>
        <v/>
      </c>
      <c r="D912" s="2" t="str">
        <f>IF($G912="","",IF(AND(OR($O912="Vet",$O912="Woman Vet"),ISERROR(MATCH($N912,Lge_Vets!$B:$B,0))),1,0))</f>
        <v/>
      </c>
      <c r="E912" s="2" t="str">
        <f>IF($G912="","",IF(AND(OR($O912="Junior",$O912="Woman Junior",$O912="Youth",$O912="Woman Youth"),ISERROR(MATCH($N912,Lge_Junior!$B:$B,0))),1,0))</f>
        <v/>
      </c>
      <c r="F912" s="2" t="str">
        <f>IF($G912="","",IF(AND(LEFT($O912,3)="You",ISERROR(MATCH($N912,Lge_Youth!$B:$B,0))),1,0))</f>
        <v/>
      </c>
      <c r="G912" s="3"/>
      <c r="H912" s="3"/>
      <c r="I912" s="3"/>
      <c r="J912" s="3"/>
      <c r="K912" s="6"/>
      <c r="L912" s="4"/>
      <c r="M912" s="4"/>
      <c r="N912" s="8"/>
      <c r="O912" s="8"/>
      <c r="P912" s="9"/>
      <c r="Q912" s="8"/>
      <c r="R912" s="8"/>
      <c r="S912" s="9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10"/>
    </row>
    <row r="913" spans="1:39" x14ac:dyDescent="0.2">
      <c r="A913" s="2" t="str">
        <f>IF($G913="","",IF(ISERROR(MATCH($N913,Lge_Scratch!$B:$B,0)),1,0))</f>
        <v/>
      </c>
      <c r="B913" s="2" t="str">
        <f>IF($G913="","",IF(AND(LEFT($Q913,8)="Non-aero",ISERROR(MATCH($N913,Lge_NonAero!$B:$B,0))),1,0))</f>
        <v/>
      </c>
      <c r="C913" s="5" t="str">
        <f>IF($G913="","",IF(AND(LEFT($O913,3)="Wom",ISERROR(MATCH($N913,Lge_Women!$B:$B,0))),1,0))</f>
        <v/>
      </c>
      <c r="D913" s="2" t="str">
        <f>IF($G913="","",IF(AND(OR($O913="Vet",$O913="Woman Vet"),ISERROR(MATCH($N913,Lge_Vets!$B:$B,0))),1,0))</f>
        <v/>
      </c>
      <c r="E913" s="2" t="str">
        <f>IF($G913="","",IF(AND(OR($O913="Junior",$O913="Woman Junior",$O913="Youth",$O913="Woman Youth"),ISERROR(MATCH($N913,Lge_Junior!$B:$B,0))),1,0))</f>
        <v/>
      </c>
      <c r="F913" s="2" t="str">
        <f>IF($G913="","",IF(AND(LEFT($O913,3)="You",ISERROR(MATCH($N913,Lge_Youth!$B:$B,0))),1,0))</f>
        <v/>
      </c>
      <c r="G913" s="3"/>
      <c r="H913" s="3"/>
      <c r="I913" s="3"/>
      <c r="J913" s="3"/>
      <c r="K913" s="6"/>
      <c r="L913" s="4"/>
      <c r="M913" s="4"/>
      <c r="N913" s="8"/>
      <c r="O913" s="8"/>
      <c r="P913" s="9"/>
      <c r="Q913" s="8"/>
      <c r="R913" s="8"/>
      <c r="S913" s="9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10"/>
    </row>
    <row r="914" spans="1:39" x14ac:dyDescent="0.2">
      <c r="A914" s="2" t="str">
        <f>IF($G914="","",IF(ISERROR(MATCH($N914,Lge_Scratch!$B:$B,0)),1,0))</f>
        <v/>
      </c>
      <c r="B914" s="2" t="str">
        <f>IF($G914="","",IF(AND(LEFT($Q914,8)="Non-aero",ISERROR(MATCH($N914,Lge_NonAero!$B:$B,0))),1,0))</f>
        <v/>
      </c>
      <c r="C914" s="5" t="str">
        <f>IF($G914="","",IF(AND(LEFT($O914,3)="Wom",ISERROR(MATCH($N914,Lge_Women!$B:$B,0))),1,0))</f>
        <v/>
      </c>
      <c r="D914" s="2" t="str">
        <f>IF($G914="","",IF(AND(OR($O914="Vet",$O914="Woman Vet"),ISERROR(MATCH($N914,Lge_Vets!$B:$B,0))),1,0))</f>
        <v/>
      </c>
      <c r="E914" s="2" t="str">
        <f>IF($G914="","",IF(AND(OR($O914="Junior",$O914="Woman Junior",$O914="Youth",$O914="Woman Youth"),ISERROR(MATCH($N914,Lge_Junior!$B:$B,0))),1,0))</f>
        <v/>
      </c>
      <c r="F914" s="2" t="str">
        <f>IF($G914="","",IF(AND(LEFT($O914,3)="You",ISERROR(MATCH($N914,Lge_Youth!$B:$B,0))),1,0))</f>
        <v/>
      </c>
      <c r="G914" s="3"/>
      <c r="H914" s="3"/>
      <c r="I914" s="3"/>
      <c r="J914" s="3"/>
      <c r="K914" s="6"/>
      <c r="L914" s="4"/>
      <c r="M914" s="4"/>
      <c r="N914" s="8"/>
      <c r="O914" s="8"/>
      <c r="P914" s="9"/>
      <c r="Q914" s="8"/>
      <c r="R914" s="8"/>
      <c r="S914" s="9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10"/>
    </row>
    <row r="915" spans="1:39" x14ac:dyDescent="0.2">
      <c r="A915" s="2" t="str">
        <f>IF($G915="","",IF(ISERROR(MATCH($N915,Lge_Scratch!$B:$B,0)),1,0))</f>
        <v/>
      </c>
      <c r="B915" s="2" t="str">
        <f>IF($G915="","",IF(AND(LEFT($Q915,8)="Non-aero",ISERROR(MATCH($N915,Lge_NonAero!$B:$B,0))),1,0))</f>
        <v/>
      </c>
      <c r="C915" s="5" t="str">
        <f>IF($G915="","",IF(AND(LEFT($O915,3)="Wom",ISERROR(MATCH($N915,Lge_Women!$B:$B,0))),1,0))</f>
        <v/>
      </c>
      <c r="D915" s="2" t="str">
        <f>IF($G915="","",IF(AND(OR($O915="Vet",$O915="Woman Vet"),ISERROR(MATCH($N915,Lge_Vets!$B:$B,0))),1,0))</f>
        <v/>
      </c>
      <c r="E915" s="2" t="str">
        <f>IF($G915="","",IF(AND(OR($O915="Junior",$O915="Woman Junior",$O915="Youth",$O915="Woman Youth"),ISERROR(MATCH($N915,Lge_Junior!$B:$B,0))),1,0))</f>
        <v/>
      </c>
      <c r="F915" s="2" t="str">
        <f>IF($G915="","",IF(AND(LEFT($O915,3)="You",ISERROR(MATCH($N915,Lge_Youth!$B:$B,0))),1,0))</f>
        <v/>
      </c>
      <c r="G915" s="3"/>
      <c r="H915" s="3"/>
      <c r="I915" s="3"/>
      <c r="J915" s="3"/>
      <c r="K915" s="6"/>
      <c r="L915" s="4"/>
      <c r="M915" s="4"/>
      <c r="N915" s="8"/>
      <c r="O915" s="8"/>
      <c r="P915" s="9"/>
      <c r="Q915" s="8"/>
      <c r="R915" s="8"/>
      <c r="S915" s="9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10"/>
    </row>
    <row r="916" spans="1:39" x14ac:dyDescent="0.2">
      <c r="A916" s="2" t="str">
        <f>IF($G916="","",IF(ISERROR(MATCH($N916,Lge_Scratch!$B:$B,0)),1,0))</f>
        <v/>
      </c>
      <c r="B916" s="2" t="str">
        <f>IF($G916="","",IF(AND(LEFT($Q916,8)="Non-aero",ISERROR(MATCH($N916,Lge_NonAero!$B:$B,0))),1,0))</f>
        <v/>
      </c>
      <c r="C916" s="5" t="str">
        <f>IF($G916="","",IF(AND(LEFT($O916,3)="Wom",ISERROR(MATCH($N916,Lge_Women!$B:$B,0))),1,0))</f>
        <v/>
      </c>
      <c r="D916" s="2" t="str">
        <f>IF($G916="","",IF(AND(OR($O916="Vet",$O916="Woman Vet"),ISERROR(MATCH($N916,Lge_Vets!$B:$B,0))),1,0))</f>
        <v/>
      </c>
      <c r="E916" s="2" t="str">
        <f>IF($G916="","",IF(AND(OR($O916="Junior",$O916="Woman Junior",$O916="Youth",$O916="Woman Youth"),ISERROR(MATCH($N916,Lge_Junior!$B:$B,0))),1,0))</f>
        <v/>
      </c>
      <c r="F916" s="2" t="str">
        <f>IF($G916="","",IF(AND(LEFT($O916,3)="You",ISERROR(MATCH($N916,Lge_Youth!$B:$B,0))),1,0))</f>
        <v/>
      </c>
      <c r="G916" s="3"/>
      <c r="H916" s="3"/>
      <c r="I916" s="3"/>
      <c r="J916" s="3"/>
      <c r="K916" s="6"/>
      <c r="L916" s="4"/>
      <c r="M916" s="4"/>
      <c r="N916" s="8"/>
      <c r="O916" s="8"/>
      <c r="P916" s="9"/>
      <c r="Q916" s="8"/>
      <c r="R916" s="8"/>
      <c r="S916" s="9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10"/>
    </row>
    <row r="917" spans="1:39" x14ac:dyDescent="0.2">
      <c r="A917" s="2" t="str">
        <f>IF($G917="","",IF(ISERROR(MATCH($N917,Lge_Scratch!$B:$B,0)),1,0))</f>
        <v/>
      </c>
      <c r="B917" s="2" t="str">
        <f>IF($G917="","",IF(AND(LEFT($Q917,8)="Non-aero",ISERROR(MATCH($N917,Lge_NonAero!$B:$B,0))),1,0))</f>
        <v/>
      </c>
      <c r="C917" s="5" t="str">
        <f>IF($G917="","",IF(AND(LEFT($O917,3)="Wom",ISERROR(MATCH($N917,Lge_Women!$B:$B,0))),1,0))</f>
        <v/>
      </c>
      <c r="D917" s="2" t="str">
        <f>IF($G917="","",IF(AND(OR($O917="Vet",$O917="Woman Vet"),ISERROR(MATCH($N917,Lge_Vets!$B:$B,0))),1,0))</f>
        <v/>
      </c>
      <c r="E917" s="2" t="str">
        <f>IF($G917="","",IF(AND(OR($O917="Junior",$O917="Woman Junior",$O917="Youth",$O917="Woman Youth"),ISERROR(MATCH($N917,Lge_Junior!$B:$B,0))),1,0))</f>
        <v/>
      </c>
      <c r="F917" s="2" t="str">
        <f>IF($G917="","",IF(AND(LEFT($O917,3)="You",ISERROR(MATCH($N917,Lge_Youth!$B:$B,0))),1,0))</f>
        <v/>
      </c>
      <c r="G917" s="3"/>
      <c r="H917" s="3"/>
      <c r="I917" s="3"/>
      <c r="J917" s="3"/>
      <c r="K917" s="6"/>
      <c r="L917" s="4"/>
      <c r="M917" s="4"/>
      <c r="N917" s="8"/>
      <c r="O917" s="8"/>
      <c r="P917" s="9"/>
      <c r="Q917" s="8"/>
      <c r="R917" s="8"/>
      <c r="S917" s="9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10"/>
    </row>
    <row r="918" spans="1:39" x14ac:dyDescent="0.2">
      <c r="A918" s="2" t="str">
        <f>IF($G918="","",IF(ISERROR(MATCH($N918,Lge_Scratch!$B:$B,0)),1,0))</f>
        <v/>
      </c>
      <c r="B918" s="2" t="str">
        <f>IF($G918="","",IF(AND(LEFT($Q918,8)="Non-aero",ISERROR(MATCH($N918,Lge_NonAero!$B:$B,0))),1,0))</f>
        <v/>
      </c>
      <c r="C918" s="5" t="str">
        <f>IF($G918="","",IF(AND(LEFT($O918,3)="Wom",ISERROR(MATCH($N918,Lge_Women!$B:$B,0))),1,0))</f>
        <v/>
      </c>
      <c r="D918" s="2" t="str">
        <f>IF($G918="","",IF(AND(OR($O918="Vet",$O918="Woman Vet"),ISERROR(MATCH($N918,Lge_Vets!$B:$B,0))),1,0))</f>
        <v/>
      </c>
      <c r="E918" s="2" t="str">
        <f>IF($G918="","",IF(AND(OR($O918="Junior",$O918="Woman Junior",$O918="Youth",$O918="Woman Youth"),ISERROR(MATCH($N918,Lge_Junior!$B:$B,0))),1,0))</f>
        <v/>
      </c>
      <c r="F918" s="2" t="str">
        <f>IF($G918="","",IF(AND(LEFT($O918,3)="You",ISERROR(MATCH($N918,Lge_Youth!$B:$B,0))),1,0))</f>
        <v/>
      </c>
      <c r="G918" s="3"/>
      <c r="H918" s="3"/>
      <c r="I918" s="3"/>
      <c r="J918" s="3"/>
      <c r="K918" s="6"/>
      <c r="L918" s="4"/>
      <c r="M918" s="4"/>
      <c r="N918" s="8"/>
      <c r="O918" s="8"/>
      <c r="P918" s="9"/>
      <c r="Q918" s="8"/>
      <c r="R918" s="8"/>
      <c r="S918" s="9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10"/>
    </row>
    <row r="919" spans="1:39" x14ac:dyDescent="0.2">
      <c r="A919" s="2" t="str">
        <f>IF($G919="","",IF(ISERROR(MATCH($N919,Lge_Scratch!$B:$B,0)),1,0))</f>
        <v/>
      </c>
      <c r="B919" s="2" t="str">
        <f>IF($G919="","",IF(AND(LEFT($Q919,8)="Non-aero",ISERROR(MATCH($N919,Lge_NonAero!$B:$B,0))),1,0))</f>
        <v/>
      </c>
      <c r="C919" s="5" t="str">
        <f>IF($G919="","",IF(AND(LEFT($O919,3)="Wom",ISERROR(MATCH($N919,Lge_Women!$B:$B,0))),1,0))</f>
        <v/>
      </c>
      <c r="D919" s="2" t="str">
        <f>IF($G919="","",IF(AND(OR($O919="Vet",$O919="Woman Vet"),ISERROR(MATCH($N919,Lge_Vets!$B:$B,0))),1,0))</f>
        <v/>
      </c>
      <c r="E919" s="2" t="str">
        <f>IF($G919="","",IF(AND(OR($O919="Junior",$O919="Woman Junior",$O919="Youth",$O919="Woman Youth"),ISERROR(MATCH($N919,Lge_Junior!$B:$B,0))),1,0))</f>
        <v/>
      </c>
      <c r="F919" s="2" t="str">
        <f>IF($G919="","",IF(AND(LEFT($O919,3)="You",ISERROR(MATCH($N919,Lge_Youth!$B:$B,0))),1,0))</f>
        <v/>
      </c>
      <c r="G919" s="3"/>
      <c r="H919" s="3"/>
      <c r="I919" s="3"/>
      <c r="J919" s="3"/>
      <c r="K919" s="6"/>
      <c r="L919" s="4"/>
      <c r="M919" s="4"/>
      <c r="N919" s="8"/>
      <c r="O919" s="8"/>
      <c r="P919" s="9"/>
      <c r="Q919" s="8"/>
      <c r="R919" s="8"/>
      <c r="S919" s="9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10"/>
    </row>
    <row r="920" spans="1:39" x14ac:dyDescent="0.2">
      <c r="A920" s="2" t="str">
        <f>IF($G920="","",IF(ISERROR(MATCH($N920,Lge_Scratch!$B:$B,0)),1,0))</f>
        <v/>
      </c>
      <c r="B920" s="2" t="str">
        <f>IF($G920="","",IF(AND(LEFT($Q920,8)="Non-aero",ISERROR(MATCH($N920,Lge_NonAero!$B:$B,0))),1,0))</f>
        <v/>
      </c>
      <c r="C920" s="5" t="str">
        <f>IF($G920="","",IF(AND(LEFT($O920,3)="Wom",ISERROR(MATCH($N920,Lge_Women!$B:$B,0))),1,0))</f>
        <v/>
      </c>
      <c r="D920" s="2" t="str">
        <f>IF($G920="","",IF(AND(OR($O920="Vet",$O920="Woman Vet"),ISERROR(MATCH($N920,Lge_Vets!$B:$B,0))),1,0))</f>
        <v/>
      </c>
      <c r="E920" s="2" t="str">
        <f>IF($G920="","",IF(AND(OR($O920="Junior",$O920="Woman Junior",$O920="Youth",$O920="Woman Youth"),ISERROR(MATCH($N920,Lge_Junior!$B:$B,0))),1,0))</f>
        <v/>
      </c>
      <c r="F920" s="2" t="str">
        <f>IF($G920="","",IF(AND(LEFT($O920,3)="You",ISERROR(MATCH($N920,Lge_Youth!$B:$B,0))),1,0))</f>
        <v/>
      </c>
      <c r="G920" s="3"/>
      <c r="H920" s="3"/>
      <c r="I920" s="3"/>
      <c r="J920" s="3"/>
      <c r="K920" s="6"/>
      <c r="L920" s="4"/>
      <c r="M920" s="4"/>
      <c r="N920" s="8"/>
      <c r="O920" s="8"/>
      <c r="P920" s="9"/>
      <c r="Q920" s="8"/>
      <c r="R920" s="8"/>
      <c r="S920" s="9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10"/>
    </row>
    <row r="921" spans="1:39" x14ac:dyDescent="0.2">
      <c r="A921" s="2" t="str">
        <f>IF($G921="","",IF(ISERROR(MATCH($N921,Lge_Scratch!$B:$B,0)),1,0))</f>
        <v/>
      </c>
      <c r="B921" s="2" t="str">
        <f>IF($G921="","",IF(AND(LEFT($Q921,8)="Non-aero",ISERROR(MATCH($N921,Lge_NonAero!$B:$B,0))),1,0))</f>
        <v/>
      </c>
      <c r="C921" s="5" t="str">
        <f>IF($G921="","",IF(AND(LEFT($O921,3)="Wom",ISERROR(MATCH($N921,Lge_Women!$B:$B,0))),1,0))</f>
        <v/>
      </c>
      <c r="D921" s="2" t="str">
        <f>IF($G921="","",IF(AND(OR($O921="Vet",$O921="Woman Vet"),ISERROR(MATCH($N921,Lge_Vets!$B:$B,0))),1,0))</f>
        <v/>
      </c>
      <c r="E921" s="2" t="str">
        <f>IF($G921="","",IF(AND(OR($O921="Junior",$O921="Woman Junior",$O921="Youth",$O921="Woman Youth"),ISERROR(MATCH($N921,Lge_Junior!$B:$B,0))),1,0))</f>
        <v/>
      </c>
      <c r="F921" s="2" t="str">
        <f>IF($G921="","",IF(AND(LEFT($O921,3)="You",ISERROR(MATCH($N921,Lge_Youth!$B:$B,0))),1,0))</f>
        <v/>
      </c>
      <c r="G921" s="3"/>
      <c r="H921" s="3"/>
      <c r="I921" s="3"/>
      <c r="J921" s="3"/>
      <c r="K921" s="6"/>
      <c r="L921" s="4"/>
      <c r="M921" s="4"/>
      <c r="N921" s="8"/>
      <c r="O921" s="8"/>
      <c r="P921" s="9"/>
      <c r="Q921" s="8"/>
      <c r="R921" s="8"/>
      <c r="S921" s="9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10"/>
    </row>
    <row r="922" spans="1:39" x14ac:dyDescent="0.2">
      <c r="A922" s="2" t="str">
        <f>IF($G922="","",IF(ISERROR(MATCH($N922,Lge_Scratch!$B:$B,0)),1,0))</f>
        <v/>
      </c>
      <c r="B922" s="2" t="str">
        <f>IF($G922="","",IF(AND(LEFT($Q922,8)="Non-aero",ISERROR(MATCH($N922,Lge_NonAero!$B:$B,0))),1,0))</f>
        <v/>
      </c>
      <c r="C922" s="5" t="str">
        <f>IF($G922="","",IF(AND(LEFT($O922,3)="Wom",ISERROR(MATCH($N922,Lge_Women!$B:$B,0))),1,0))</f>
        <v/>
      </c>
      <c r="D922" s="2" t="str">
        <f>IF($G922="","",IF(AND(OR($O922="Vet",$O922="Woman Vet"),ISERROR(MATCH($N922,Lge_Vets!$B:$B,0))),1,0))</f>
        <v/>
      </c>
      <c r="E922" s="2" t="str">
        <f>IF($G922="","",IF(AND(OR($O922="Junior",$O922="Woman Junior",$O922="Youth",$O922="Woman Youth"),ISERROR(MATCH($N922,Lge_Junior!$B:$B,0))),1,0))</f>
        <v/>
      </c>
      <c r="F922" s="2" t="str">
        <f>IF($G922="","",IF(AND(LEFT($O922,3)="You",ISERROR(MATCH($N922,Lge_Youth!$B:$B,0))),1,0))</f>
        <v/>
      </c>
      <c r="G922" s="3"/>
      <c r="H922" s="3"/>
      <c r="I922" s="3"/>
      <c r="J922" s="3"/>
      <c r="K922" s="6"/>
      <c r="L922" s="4"/>
      <c r="M922" s="4"/>
      <c r="N922" s="8"/>
      <c r="O922" s="8"/>
      <c r="P922" s="9"/>
      <c r="Q922" s="8"/>
      <c r="R922" s="8"/>
      <c r="S922" s="9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10"/>
    </row>
    <row r="923" spans="1:39" x14ac:dyDescent="0.2">
      <c r="A923" s="2" t="str">
        <f>IF($G923="","",IF(ISERROR(MATCH($N923,Lge_Scratch!$B:$B,0)),1,0))</f>
        <v/>
      </c>
      <c r="B923" s="2" t="str">
        <f>IF($G923="","",IF(AND(LEFT($Q923,8)="Non-aero",ISERROR(MATCH($N923,Lge_NonAero!$B:$B,0))),1,0))</f>
        <v/>
      </c>
      <c r="C923" s="5" t="str">
        <f>IF($G923="","",IF(AND(LEFT($O923,3)="Wom",ISERROR(MATCH($N923,Lge_Women!$B:$B,0))),1,0))</f>
        <v/>
      </c>
      <c r="D923" s="2" t="str">
        <f>IF($G923="","",IF(AND(OR($O923="Vet",$O923="Woman Vet"),ISERROR(MATCH($N923,Lge_Vets!$B:$B,0))),1,0))</f>
        <v/>
      </c>
      <c r="E923" s="2" t="str">
        <f>IF($G923="","",IF(AND(OR($O923="Junior",$O923="Woman Junior",$O923="Youth",$O923="Woman Youth"),ISERROR(MATCH($N923,Lge_Junior!$B:$B,0))),1,0))</f>
        <v/>
      </c>
      <c r="F923" s="2" t="str">
        <f>IF($G923="","",IF(AND(LEFT($O923,3)="You",ISERROR(MATCH($N923,Lge_Youth!$B:$B,0))),1,0))</f>
        <v/>
      </c>
      <c r="G923" s="3"/>
      <c r="H923" s="3"/>
      <c r="I923" s="3"/>
      <c r="J923" s="3"/>
      <c r="K923" s="6"/>
      <c r="L923" s="4"/>
      <c r="M923" s="4"/>
      <c r="N923" s="8"/>
      <c r="O923" s="8"/>
      <c r="P923" s="9"/>
      <c r="Q923" s="8"/>
      <c r="R923" s="8"/>
      <c r="S923" s="9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10"/>
    </row>
    <row r="924" spans="1:39" x14ac:dyDescent="0.2">
      <c r="A924" s="2" t="str">
        <f>IF($G924="","",IF(ISERROR(MATCH($N924,Lge_Scratch!$B:$B,0)),1,0))</f>
        <v/>
      </c>
      <c r="B924" s="2" t="str">
        <f>IF($G924="","",IF(AND(LEFT($Q924,8)="Non-aero",ISERROR(MATCH($N924,Lge_NonAero!$B:$B,0))),1,0))</f>
        <v/>
      </c>
      <c r="C924" s="5" t="str">
        <f>IF($G924="","",IF(AND(LEFT($O924,3)="Wom",ISERROR(MATCH($N924,Lge_Women!$B:$B,0))),1,0))</f>
        <v/>
      </c>
      <c r="D924" s="2" t="str">
        <f>IF($G924="","",IF(AND(OR($O924="Vet",$O924="Woman Vet"),ISERROR(MATCH($N924,Lge_Vets!$B:$B,0))),1,0))</f>
        <v/>
      </c>
      <c r="E924" s="2" t="str">
        <f>IF($G924="","",IF(AND(OR($O924="Junior",$O924="Woman Junior",$O924="Youth",$O924="Woman Youth"),ISERROR(MATCH($N924,Lge_Junior!$B:$B,0))),1,0))</f>
        <v/>
      </c>
      <c r="F924" s="2" t="str">
        <f>IF($G924="","",IF(AND(LEFT($O924,3)="You",ISERROR(MATCH($N924,Lge_Youth!$B:$B,0))),1,0))</f>
        <v/>
      </c>
      <c r="G924" s="3"/>
      <c r="H924" s="3"/>
      <c r="I924" s="3"/>
      <c r="J924" s="3"/>
      <c r="K924" s="6"/>
      <c r="L924" s="4"/>
      <c r="M924" s="4"/>
      <c r="N924" s="8"/>
      <c r="O924" s="8"/>
      <c r="P924" s="9"/>
      <c r="Q924" s="8"/>
      <c r="R924" s="8"/>
      <c r="S924" s="9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10"/>
    </row>
    <row r="925" spans="1:39" x14ac:dyDescent="0.2">
      <c r="A925" s="2" t="str">
        <f>IF($G925="","",IF(ISERROR(MATCH($N925,Lge_Scratch!$B:$B,0)),1,0))</f>
        <v/>
      </c>
      <c r="B925" s="2" t="str">
        <f>IF($G925="","",IF(AND(LEFT($Q925,8)="Non-aero",ISERROR(MATCH($N925,Lge_NonAero!$B:$B,0))),1,0))</f>
        <v/>
      </c>
      <c r="C925" s="5" t="str">
        <f>IF($G925="","",IF(AND(LEFT($O925,3)="Wom",ISERROR(MATCH($N925,Lge_Women!$B:$B,0))),1,0))</f>
        <v/>
      </c>
      <c r="D925" s="2" t="str">
        <f>IF($G925="","",IF(AND(OR($O925="Vet",$O925="Woman Vet"),ISERROR(MATCH($N925,Lge_Vets!$B:$B,0))),1,0))</f>
        <v/>
      </c>
      <c r="E925" s="2" t="str">
        <f>IF($G925="","",IF(AND(OR($O925="Junior",$O925="Woman Junior",$O925="Youth",$O925="Woman Youth"),ISERROR(MATCH($N925,Lge_Junior!$B:$B,0))),1,0))</f>
        <v/>
      </c>
      <c r="F925" s="2" t="str">
        <f>IF($G925="","",IF(AND(LEFT($O925,3)="You",ISERROR(MATCH($N925,Lge_Youth!$B:$B,0))),1,0))</f>
        <v/>
      </c>
      <c r="G925" s="3"/>
      <c r="H925" s="3"/>
      <c r="I925" s="3"/>
      <c r="J925" s="3"/>
      <c r="K925" s="6"/>
      <c r="L925" s="4"/>
      <c r="M925" s="4"/>
      <c r="N925" s="8"/>
      <c r="O925" s="8"/>
      <c r="P925" s="9"/>
      <c r="Q925" s="8"/>
      <c r="R925" s="8"/>
      <c r="S925" s="9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10"/>
    </row>
    <row r="926" spans="1:39" x14ac:dyDescent="0.2">
      <c r="A926" s="2" t="str">
        <f>IF($G926="","",IF(ISERROR(MATCH($N926,Lge_Scratch!$B:$B,0)),1,0))</f>
        <v/>
      </c>
      <c r="B926" s="2" t="str">
        <f>IF($G926="","",IF(AND(LEFT($Q926,8)="Non-aero",ISERROR(MATCH($N926,Lge_NonAero!$B:$B,0))),1,0))</f>
        <v/>
      </c>
      <c r="C926" s="5" t="str">
        <f>IF($G926="","",IF(AND(LEFT($O926,3)="Wom",ISERROR(MATCH($N926,Lge_Women!$B:$B,0))),1,0))</f>
        <v/>
      </c>
      <c r="D926" s="2" t="str">
        <f>IF($G926="","",IF(AND(OR($O926="Vet",$O926="Woman Vet"),ISERROR(MATCH($N926,Lge_Vets!$B:$B,0))),1,0))</f>
        <v/>
      </c>
      <c r="E926" s="2" t="str">
        <f>IF($G926="","",IF(AND(OR($O926="Junior",$O926="Woman Junior",$O926="Youth",$O926="Woman Youth"),ISERROR(MATCH($N926,Lge_Junior!$B:$B,0))),1,0))</f>
        <v/>
      </c>
      <c r="F926" s="2" t="str">
        <f>IF($G926="","",IF(AND(LEFT($O926,3)="You",ISERROR(MATCH($N926,Lge_Youth!$B:$B,0))),1,0))</f>
        <v/>
      </c>
      <c r="G926" s="3"/>
      <c r="H926" s="3"/>
      <c r="I926" s="3"/>
      <c r="J926" s="3"/>
      <c r="K926" s="6"/>
      <c r="L926" s="4"/>
      <c r="M926" s="4"/>
      <c r="N926" s="8"/>
      <c r="O926" s="8"/>
      <c r="P926" s="9"/>
      <c r="Q926" s="8"/>
      <c r="R926" s="8"/>
      <c r="S926" s="9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10"/>
    </row>
    <row r="927" spans="1:39" x14ac:dyDescent="0.2">
      <c r="A927" s="2" t="str">
        <f>IF($G927="","",IF(ISERROR(MATCH($N927,Lge_Scratch!$B:$B,0)),1,0))</f>
        <v/>
      </c>
      <c r="B927" s="2" t="str">
        <f>IF($G927="","",IF(AND(LEFT($Q927,8)="Non-aero",ISERROR(MATCH($N927,Lge_NonAero!$B:$B,0))),1,0))</f>
        <v/>
      </c>
      <c r="C927" s="5" t="str">
        <f>IF($G927="","",IF(AND(LEFT($O927,3)="Wom",ISERROR(MATCH($N927,Lge_Women!$B:$B,0))),1,0))</f>
        <v/>
      </c>
      <c r="D927" s="2" t="str">
        <f>IF($G927="","",IF(AND(OR($O927="Vet",$O927="Woman Vet"),ISERROR(MATCH($N927,Lge_Vets!$B:$B,0))),1,0))</f>
        <v/>
      </c>
      <c r="E927" s="2" t="str">
        <f>IF($G927="","",IF(AND(OR($O927="Junior",$O927="Woman Junior",$O927="Youth",$O927="Woman Youth"),ISERROR(MATCH($N927,Lge_Junior!$B:$B,0))),1,0))</f>
        <v/>
      </c>
      <c r="F927" s="2" t="str">
        <f>IF($G927="","",IF(AND(LEFT($O927,3)="You",ISERROR(MATCH($N927,Lge_Youth!$B:$B,0))),1,0))</f>
        <v/>
      </c>
      <c r="G927" s="3"/>
      <c r="H927" s="3"/>
      <c r="I927" s="3"/>
      <c r="J927" s="3"/>
      <c r="K927" s="6"/>
      <c r="L927" s="4"/>
      <c r="M927" s="4"/>
      <c r="N927" s="8"/>
      <c r="O927" s="8"/>
      <c r="P927" s="9"/>
      <c r="Q927" s="8"/>
      <c r="R927" s="8"/>
      <c r="S927" s="9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10"/>
    </row>
    <row r="928" spans="1:39" x14ac:dyDescent="0.2">
      <c r="A928" s="2" t="str">
        <f>IF($G928="","",IF(ISERROR(MATCH($N928,Lge_Scratch!$B:$B,0)),1,0))</f>
        <v/>
      </c>
      <c r="B928" s="2" t="str">
        <f>IF($G928="","",IF(AND(LEFT($Q928,8)="Non-aero",ISERROR(MATCH($N928,Lge_NonAero!$B:$B,0))),1,0))</f>
        <v/>
      </c>
      <c r="C928" s="5" t="str">
        <f>IF($G928="","",IF(AND(LEFT($O928,3)="Wom",ISERROR(MATCH($N928,Lge_Women!$B:$B,0))),1,0))</f>
        <v/>
      </c>
      <c r="D928" s="2" t="str">
        <f>IF($G928="","",IF(AND(OR($O928="Vet",$O928="Woman Vet"),ISERROR(MATCH($N928,Lge_Vets!$B:$B,0))),1,0))</f>
        <v/>
      </c>
      <c r="E928" s="2" t="str">
        <f>IF($G928="","",IF(AND(OR($O928="Junior",$O928="Woman Junior",$O928="Youth",$O928="Woman Youth"),ISERROR(MATCH($N928,Lge_Junior!$B:$B,0))),1,0))</f>
        <v/>
      </c>
      <c r="F928" s="2" t="str">
        <f>IF($G928="","",IF(AND(LEFT($O928,3)="You",ISERROR(MATCH($N928,Lge_Youth!$B:$B,0))),1,0))</f>
        <v/>
      </c>
      <c r="G928" s="3"/>
      <c r="H928" s="3"/>
      <c r="I928" s="3"/>
      <c r="J928" s="3"/>
      <c r="K928" s="6"/>
      <c r="L928" s="4"/>
      <c r="M928" s="4"/>
      <c r="N928" s="8"/>
      <c r="O928" s="8"/>
      <c r="P928" s="9"/>
      <c r="Q928" s="8"/>
      <c r="R928" s="8"/>
      <c r="S928" s="9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10"/>
    </row>
    <row r="929" spans="1:39" x14ac:dyDescent="0.2">
      <c r="A929" s="2" t="str">
        <f>IF($G929="","",IF(ISERROR(MATCH($N929,Lge_Scratch!$B:$B,0)),1,0))</f>
        <v/>
      </c>
      <c r="B929" s="2" t="str">
        <f>IF($G929="","",IF(AND(LEFT($Q929,8)="Non-aero",ISERROR(MATCH($N929,Lge_NonAero!$B:$B,0))),1,0))</f>
        <v/>
      </c>
      <c r="C929" s="5" t="str">
        <f>IF($G929="","",IF(AND(LEFT($O929,3)="Wom",ISERROR(MATCH($N929,Lge_Women!$B:$B,0))),1,0))</f>
        <v/>
      </c>
      <c r="D929" s="2" t="str">
        <f>IF($G929="","",IF(AND(OR($O929="Vet",$O929="Woman Vet"),ISERROR(MATCH($N929,Lge_Vets!$B:$B,0))),1,0))</f>
        <v/>
      </c>
      <c r="E929" s="2" t="str">
        <f>IF($G929="","",IF(AND(OR($O929="Junior",$O929="Woman Junior",$O929="Youth",$O929="Woman Youth"),ISERROR(MATCH($N929,Lge_Junior!$B:$B,0))),1,0))</f>
        <v/>
      </c>
      <c r="F929" s="2" t="str">
        <f>IF($G929="","",IF(AND(LEFT($O929,3)="You",ISERROR(MATCH($N929,Lge_Youth!$B:$B,0))),1,0))</f>
        <v/>
      </c>
      <c r="G929" s="3"/>
      <c r="H929" s="3"/>
      <c r="I929" s="3"/>
      <c r="J929" s="3"/>
      <c r="K929" s="6"/>
      <c r="L929" s="4"/>
      <c r="M929" s="4"/>
      <c r="N929" s="8"/>
      <c r="O929" s="8"/>
      <c r="P929" s="9"/>
      <c r="Q929" s="8"/>
      <c r="R929" s="8"/>
      <c r="S929" s="9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10"/>
    </row>
    <row r="930" spans="1:39" x14ac:dyDescent="0.2">
      <c r="A930" s="2" t="str">
        <f>IF($G930="","",IF(ISERROR(MATCH($N930,Lge_Scratch!$B:$B,0)),1,0))</f>
        <v/>
      </c>
      <c r="B930" s="2" t="str">
        <f>IF($G930="","",IF(AND(LEFT($Q930,8)="Non-aero",ISERROR(MATCH($N930,Lge_NonAero!$B:$B,0))),1,0))</f>
        <v/>
      </c>
      <c r="C930" s="5" t="str">
        <f>IF($G930="","",IF(AND(LEFT($O930,3)="Wom",ISERROR(MATCH($N930,Lge_Women!$B:$B,0))),1,0))</f>
        <v/>
      </c>
      <c r="D930" s="2" t="str">
        <f>IF($G930="","",IF(AND(OR($O930="Vet",$O930="Woman Vet"),ISERROR(MATCH($N930,Lge_Vets!$B:$B,0))),1,0))</f>
        <v/>
      </c>
      <c r="E930" s="2" t="str">
        <f>IF($G930="","",IF(AND(OR($O930="Junior",$O930="Woman Junior",$O930="Youth",$O930="Woman Youth"),ISERROR(MATCH($N930,Lge_Junior!$B:$B,0))),1,0))</f>
        <v/>
      </c>
      <c r="F930" s="2" t="str">
        <f>IF($G930="","",IF(AND(LEFT($O930,3)="You",ISERROR(MATCH($N930,Lge_Youth!$B:$B,0))),1,0))</f>
        <v/>
      </c>
      <c r="G930" s="3"/>
      <c r="H930" s="3"/>
      <c r="I930" s="3"/>
      <c r="J930" s="3"/>
      <c r="K930" s="6"/>
      <c r="L930" s="4"/>
      <c r="M930" s="4"/>
      <c r="N930" s="8"/>
      <c r="O930" s="8"/>
      <c r="P930" s="9"/>
      <c r="Q930" s="8"/>
      <c r="R930" s="8"/>
      <c r="S930" s="9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10"/>
    </row>
    <row r="931" spans="1:39" x14ac:dyDescent="0.2">
      <c r="A931" s="2" t="str">
        <f>IF($G931="","",IF(ISERROR(MATCH($N931,Lge_Scratch!$B:$B,0)),1,0))</f>
        <v/>
      </c>
      <c r="B931" s="2" t="str">
        <f>IF($G931="","",IF(AND(LEFT($Q931,8)="Non-aero",ISERROR(MATCH($N931,Lge_NonAero!$B:$B,0))),1,0))</f>
        <v/>
      </c>
      <c r="C931" s="5" t="str">
        <f>IF($G931="","",IF(AND(LEFT($O931,3)="Wom",ISERROR(MATCH($N931,Lge_Women!$B:$B,0))),1,0))</f>
        <v/>
      </c>
      <c r="D931" s="2" t="str">
        <f>IF($G931="","",IF(AND(OR($O931="Vet",$O931="Woman Vet"),ISERROR(MATCH($N931,Lge_Vets!$B:$B,0))),1,0))</f>
        <v/>
      </c>
      <c r="E931" s="2" t="str">
        <f>IF($G931="","",IF(AND(OR($O931="Junior",$O931="Woman Junior",$O931="Youth",$O931="Woman Youth"),ISERROR(MATCH($N931,Lge_Junior!$B:$B,0))),1,0))</f>
        <v/>
      </c>
      <c r="F931" s="2" t="str">
        <f>IF($G931="","",IF(AND(LEFT($O931,3)="You",ISERROR(MATCH($N931,Lge_Youth!$B:$B,0))),1,0))</f>
        <v/>
      </c>
      <c r="G931" s="3"/>
      <c r="H931" s="3"/>
      <c r="I931" s="3"/>
      <c r="J931" s="3"/>
      <c r="K931" s="6"/>
      <c r="L931" s="4"/>
      <c r="M931" s="4"/>
      <c r="N931" s="8"/>
      <c r="O931" s="8"/>
      <c r="P931" s="9"/>
      <c r="Q931" s="8"/>
      <c r="R931" s="8"/>
      <c r="S931" s="9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10"/>
    </row>
    <row r="932" spans="1:39" x14ac:dyDescent="0.2">
      <c r="A932" s="2" t="str">
        <f>IF($G932="","",IF(ISERROR(MATCH($N932,Lge_Scratch!$B:$B,0)),1,0))</f>
        <v/>
      </c>
      <c r="B932" s="2" t="str">
        <f>IF($G932="","",IF(AND(LEFT($Q932,8)="Non-aero",ISERROR(MATCH($N932,Lge_NonAero!$B:$B,0))),1,0))</f>
        <v/>
      </c>
      <c r="C932" s="5" t="str">
        <f>IF($G932="","",IF(AND(LEFT($O932,3)="Wom",ISERROR(MATCH($N932,Lge_Women!$B:$B,0))),1,0))</f>
        <v/>
      </c>
      <c r="D932" s="2" t="str">
        <f>IF($G932="","",IF(AND(OR($O932="Vet",$O932="Woman Vet"),ISERROR(MATCH($N932,Lge_Vets!$B:$B,0))),1,0))</f>
        <v/>
      </c>
      <c r="E932" s="2" t="str">
        <f>IF($G932="","",IF(AND(OR($O932="Junior",$O932="Woman Junior",$O932="Youth",$O932="Woman Youth"),ISERROR(MATCH($N932,Lge_Junior!$B:$B,0))),1,0))</f>
        <v/>
      </c>
      <c r="F932" s="2" t="str">
        <f>IF($G932="","",IF(AND(LEFT($O932,3)="You",ISERROR(MATCH($N932,Lge_Youth!$B:$B,0))),1,0))</f>
        <v/>
      </c>
      <c r="G932" s="3"/>
      <c r="H932" s="3"/>
      <c r="I932" s="3"/>
      <c r="J932" s="3"/>
      <c r="K932" s="6"/>
      <c r="L932" s="4"/>
      <c r="M932" s="4"/>
      <c r="N932" s="8"/>
      <c r="O932" s="8"/>
      <c r="P932" s="9"/>
      <c r="Q932" s="8"/>
      <c r="R932" s="8"/>
      <c r="S932" s="9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10"/>
    </row>
    <row r="933" spans="1:39" x14ac:dyDescent="0.2">
      <c r="A933" s="2" t="str">
        <f>IF($G933="","",IF(ISERROR(MATCH($N933,Lge_Scratch!$B:$B,0)),1,0))</f>
        <v/>
      </c>
      <c r="B933" s="2" t="str">
        <f>IF($G933="","",IF(AND(LEFT($Q933,8)="Non-aero",ISERROR(MATCH($N933,Lge_NonAero!$B:$B,0))),1,0))</f>
        <v/>
      </c>
      <c r="C933" s="5" t="str">
        <f>IF($G933="","",IF(AND(LEFT($O933,3)="Wom",ISERROR(MATCH($N933,Lge_Women!$B:$B,0))),1,0))</f>
        <v/>
      </c>
      <c r="D933" s="2" t="str">
        <f>IF($G933="","",IF(AND(OR($O933="Vet",$O933="Woman Vet"),ISERROR(MATCH($N933,Lge_Vets!$B:$B,0))),1,0))</f>
        <v/>
      </c>
      <c r="E933" s="2" t="str">
        <f>IF($G933="","",IF(AND(OR($O933="Junior",$O933="Woman Junior",$O933="Youth",$O933="Woman Youth"),ISERROR(MATCH($N933,Lge_Junior!$B:$B,0))),1,0))</f>
        <v/>
      </c>
      <c r="F933" s="2" t="str">
        <f>IF($G933="","",IF(AND(LEFT($O933,3)="You",ISERROR(MATCH($N933,Lge_Youth!$B:$B,0))),1,0))</f>
        <v/>
      </c>
      <c r="G933" s="3"/>
      <c r="H933" s="3"/>
      <c r="I933" s="3"/>
      <c r="J933" s="3"/>
      <c r="K933" s="6"/>
      <c r="L933" s="4"/>
      <c r="M933" s="4"/>
      <c r="N933" s="8"/>
      <c r="O933" s="8"/>
      <c r="P933" s="9"/>
      <c r="Q933" s="8"/>
      <c r="R933" s="8"/>
      <c r="S933" s="9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10"/>
    </row>
    <row r="934" spans="1:39" x14ac:dyDescent="0.2">
      <c r="A934" s="2" t="str">
        <f>IF($G934="","",IF(ISERROR(MATCH($N934,Lge_Scratch!$B:$B,0)),1,0))</f>
        <v/>
      </c>
      <c r="B934" s="2" t="str">
        <f>IF($G934="","",IF(AND(LEFT($Q934,8)="Non-aero",ISERROR(MATCH($N934,Lge_NonAero!$B:$B,0))),1,0))</f>
        <v/>
      </c>
      <c r="C934" s="5" t="str">
        <f>IF($G934="","",IF(AND(LEFT($O934,3)="Wom",ISERROR(MATCH($N934,Lge_Women!$B:$B,0))),1,0))</f>
        <v/>
      </c>
      <c r="D934" s="2" t="str">
        <f>IF($G934="","",IF(AND(OR($O934="Vet",$O934="Woman Vet"),ISERROR(MATCH($N934,Lge_Vets!$B:$B,0))),1,0))</f>
        <v/>
      </c>
      <c r="E934" s="2" t="str">
        <f>IF($G934="","",IF(AND(OR($O934="Junior",$O934="Woman Junior",$O934="Youth",$O934="Woman Youth"),ISERROR(MATCH($N934,Lge_Junior!$B:$B,0))),1,0))</f>
        <v/>
      </c>
      <c r="F934" s="2" t="str">
        <f>IF($G934="","",IF(AND(LEFT($O934,3)="You",ISERROR(MATCH($N934,Lge_Youth!$B:$B,0))),1,0))</f>
        <v/>
      </c>
      <c r="G934" s="3"/>
      <c r="H934" s="3"/>
      <c r="I934" s="3"/>
      <c r="J934" s="3"/>
      <c r="K934" s="6"/>
      <c r="L934" s="4"/>
      <c r="M934" s="4"/>
      <c r="N934" s="8"/>
      <c r="O934" s="8"/>
      <c r="P934" s="9"/>
      <c r="Q934" s="8"/>
      <c r="R934" s="8"/>
      <c r="S934" s="9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10"/>
    </row>
    <row r="935" spans="1:39" x14ac:dyDescent="0.2">
      <c r="A935" s="2" t="str">
        <f>IF($G935="","",IF(ISERROR(MATCH($N935,Lge_Scratch!$B:$B,0)),1,0))</f>
        <v/>
      </c>
      <c r="B935" s="2" t="str">
        <f>IF($G935="","",IF(AND(LEFT($Q935,8)="Non-aero",ISERROR(MATCH($N935,Lge_NonAero!$B:$B,0))),1,0))</f>
        <v/>
      </c>
      <c r="C935" s="5" t="str">
        <f>IF($G935="","",IF(AND(LEFT($O935,3)="Wom",ISERROR(MATCH($N935,Lge_Women!$B:$B,0))),1,0))</f>
        <v/>
      </c>
      <c r="D935" s="2" t="str">
        <f>IF($G935="","",IF(AND(OR($O935="Vet",$O935="Woman Vet"),ISERROR(MATCH($N935,Lge_Vets!$B:$B,0))),1,0))</f>
        <v/>
      </c>
      <c r="E935" s="2" t="str">
        <f>IF($G935="","",IF(AND(OR($O935="Junior",$O935="Woman Junior",$O935="Youth",$O935="Woman Youth"),ISERROR(MATCH($N935,Lge_Junior!$B:$B,0))),1,0))</f>
        <v/>
      </c>
      <c r="F935" s="2" t="str">
        <f>IF($G935="","",IF(AND(LEFT($O935,3)="You",ISERROR(MATCH($N935,Lge_Youth!$B:$B,0))),1,0))</f>
        <v/>
      </c>
      <c r="G935" s="3"/>
      <c r="H935" s="3"/>
      <c r="I935" s="3"/>
      <c r="J935" s="3"/>
      <c r="K935" s="6"/>
      <c r="L935" s="4"/>
      <c r="M935" s="4"/>
      <c r="N935" s="8"/>
      <c r="O935" s="8"/>
      <c r="P935" s="9"/>
      <c r="Q935" s="8"/>
      <c r="R935" s="8"/>
      <c r="S935" s="9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10"/>
    </row>
    <row r="936" spans="1:39" x14ac:dyDescent="0.2">
      <c r="A936" s="2" t="str">
        <f>IF($G936="","",IF(ISERROR(MATCH($N936,Lge_Scratch!$B:$B,0)),1,0))</f>
        <v/>
      </c>
      <c r="B936" s="2" t="str">
        <f>IF($G936="","",IF(AND(LEFT($Q936,8)="Non-aero",ISERROR(MATCH($N936,Lge_NonAero!$B:$B,0))),1,0))</f>
        <v/>
      </c>
      <c r="C936" s="5" t="str">
        <f>IF($G936="","",IF(AND(LEFT($O936,3)="Wom",ISERROR(MATCH($N936,Lge_Women!$B:$B,0))),1,0))</f>
        <v/>
      </c>
      <c r="D936" s="2" t="str">
        <f>IF($G936="","",IF(AND(OR($O936="Vet",$O936="Woman Vet"),ISERROR(MATCH($N936,Lge_Vets!$B:$B,0))),1,0))</f>
        <v/>
      </c>
      <c r="E936" s="2" t="str">
        <f>IF($G936="","",IF(AND(OR($O936="Junior",$O936="Woman Junior",$O936="Youth",$O936="Woman Youth"),ISERROR(MATCH($N936,Lge_Junior!$B:$B,0))),1,0))</f>
        <v/>
      </c>
      <c r="F936" s="2" t="str">
        <f>IF($G936="","",IF(AND(LEFT($O936,3)="You",ISERROR(MATCH($N936,Lge_Youth!$B:$B,0))),1,0))</f>
        <v/>
      </c>
      <c r="G936" s="3"/>
      <c r="H936" s="3"/>
      <c r="I936" s="3"/>
      <c r="J936" s="3"/>
      <c r="K936" s="6"/>
      <c r="L936" s="4"/>
      <c r="M936" s="4"/>
      <c r="N936" s="8"/>
      <c r="O936" s="8"/>
      <c r="P936" s="9"/>
      <c r="Q936" s="8"/>
      <c r="R936" s="8"/>
      <c r="S936" s="9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10"/>
    </row>
    <row r="937" spans="1:39" x14ac:dyDescent="0.2">
      <c r="A937" s="2" t="str">
        <f>IF($G937="","",IF(ISERROR(MATCH($N937,Lge_Scratch!$B:$B,0)),1,0))</f>
        <v/>
      </c>
      <c r="B937" s="2" t="str">
        <f>IF($G937="","",IF(AND(LEFT($Q937,8)="Non-aero",ISERROR(MATCH($N937,Lge_NonAero!$B:$B,0))),1,0))</f>
        <v/>
      </c>
      <c r="C937" s="5" t="str">
        <f>IF($G937="","",IF(AND(LEFT($O937,3)="Wom",ISERROR(MATCH($N937,Lge_Women!$B:$B,0))),1,0))</f>
        <v/>
      </c>
      <c r="D937" s="2" t="str">
        <f>IF($G937="","",IF(AND(OR($O937="Vet",$O937="Woman Vet"),ISERROR(MATCH($N937,Lge_Vets!$B:$B,0))),1,0))</f>
        <v/>
      </c>
      <c r="E937" s="2" t="str">
        <f>IF($G937="","",IF(AND(OR($O937="Junior",$O937="Woman Junior",$O937="Youth",$O937="Woman Youth"),ISERROR(MATCH($N937,Lge_Junior!$B:$B,0))),1,0))</f>
        <v/>
      </c>
      <c r="F937" s="2" t="str">
        <f>IF($G937="","",IF(AND(LEFT($O937,3)="You",ISERROR(MATCH($N937,Lge_Youth!$B:$B,0))),1,0))</f>
        <v/>
      </c>
      <c r="G937" s="3"/>
      <c r="H937" s="3"/>
      <c r="I937" s="3"/>
      <c r="J937" s="3"/>
      <c r="K937" s="6"/>
      <c r="L937" s="4"/>
      <c r="M937" s="4"/>
      <c r="N937" s="8"/>
      <c r="O937" s="8"/>
      <c r="P937" s="9"/>
      <c r="Q937" s="8"/>
      <c r="R937" s="8"/>
      <c r="S937" s="9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10"/>
    </row>
    <row r="938" spans="1:39" x14ac:dyDescent="0.2">
      <c r="A938" s="2" t="str">
        <f>IF($G938="","",IF(ISERROR(MATCH($N938,Lge_Scratch!$B:$B,0)),1,0))</f>
        <v/>
      </c>
      <c r="B938" s="2" t="str">
        <f>IF($G938="","",IF(AND(LEFT($Q938,8)="Non-aero",ISERROR(MATCH($N938,Lge_NonAero!$B:$B,0))),1,0))</f>
        <v/>
      </c>
      <c r="C938" s="5" t="str">
        <f>IF($G938="","",IF(AND(LEFT($O938,3)="Wom",ISERROR(MATCH($N938,Lge_Women!$B:$B,0))),1,0))</f>
        <v/>
      </c>
      <c r="D938" s="2" t="str">
        <f>IF($G938="","",IF(AND(OR($O938="Vet",$O938="Woman Vet"),ISERROR(MATCH($N938,Lge_Vets!$B:$B,0))),1,0))</f>
        <v/>
      </c>
      <c r="E938" s="2" t="str">
        <f>IF($G938="","",IF(AND(OR($O938="Junior",$O938="Woman Junior",$O938="Youth",$O938="Woman Youth"),ISERROR(MATCH($N938,Lge_Junior!$B:$B,0))),1,0))</f>
        <v/>
      </c>
      <c r="F938" s="2" t="str">
        <f>IF($G938="","",IF(AND(LEFT($O938,3)="You",ISERROR(MATCH($N938,Lge_Youth!$B:$B,0))),1,0))</f>
        <v/>
      </c>
      <c r="G938" s="3"/>
      <c r="H938" s="3"/>
      <c r="I938" s="3"/>
      <c r="J938" s="3"/>
      <c r="K938" s="6"/>
      <c r="L938" s="4"/>
      <c r="M938" s="4"/>
      <c r="N938" s="8"/>
      <c r="O938" s="8"/>
      <c r="P938" s="9"/>
      <c r="Q938" s="8"/>
      <c r="R938" s="8"/>
      <c r="S938" s="9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10"/>
    </row>
    <row r="939" spans="1:39" x14ac:dyDescent="0.2">
      <c r="A939" s="2" t="str">
        <f>IF($G939="","",IF(ISERROR(MATCH($N939,Lge_Scratch!$B:$B,0)),1,0))</f>
        <v/>
      </c>
      <c r="B939" s="2" t="str">
        <f>IF($G939="","",IF(AND(LEFT($Q939,8)="Non-aero",ISERROR(MATCH($N939,Lge_NonAero!$B:$B,0))),1,0))</f>
        <v/>
      </c>
      <c r="C939" s="5" t="str">
        <f>IF($G939="","",IF(AND(LEFT($O939,3)="Wom",ISERROR(MATCH($N939,Lge_Women!$B:$B,0))),1,0))</f>
        <v/>
      </c>
      <c r="D939" s="2" t="str">
        <f>IF($G939="","",IF(AND(OR($O939="Vet",$O939="Woman Vet"),ISERROR(MATCH($N939,Lge_Vets!$B:$B,0))),1,0))</f>
        <v/>
      </c>
      <c r="E939" s="2" t="str">
        <f>IF($G939="","",IF(AND(OR($O939="Junior",$O939="Woman Junior",$O939="Youth",$O939="Woman Youth"),ISERROR(MATCH($N939,Lge_Junior!$B:$B,0))),1,0))</f>
        <v/>
      </c>
      <c r="F939" s="2" t="str">
        <f>IF($G939="","",IF(AND(LEFT($O939,3)="You",ISERROR(MATCH($N939,Lge_Youth!$B:$B,0))),1,0))</f>
        <v/>
      </c>
      <c r="G939" s="3"/>
      <c r="H939" s="3"/>
      <c r="I939" s="3"/>
      <c r="J939" s="3"/>
      <c r="K939" s="6"/>
      <c r="L939" s="4"/>
      <c r="M939" s="4"/>
      <c r="N939" s="8"/>
      <c r="O939" s="8"/>
      <c r="P939" s="9"/>
      <c r="Q939" s="8"/>
      <c r="R939" s="8"/>
      <c r="S939" s="9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10"/>
    </row>
    <row r="940" spans="1:39" x14ac:dyDescent="0.2">
      <c r="A940" s="2" t="str">
        <f>IF($G940="","",IF(ISERROR(MATCH($N940,Lge_Scratch!$B:$B,0)),1,0))</f>
        <v/>
      </c>
      <c r="B940" s="2" t="str">
        <f>IF($G940="","",IF(AND(LEFT($Q940,8)="Non-aero",ISERROR(MATCH($N940,Lge_NonAero!$B:$B,0))),1,0))</f>
        <v/>
      </c>
      <c r="C940" s="5" t="str">
        <f>IF($G940="","",IF(AND(LEFT($O940,3)="Wom",ISERROR(MATCH($N940,Lge_Women!$B:$B,0))),1,0))</f>
        <v/>
      </c>
      <c r="D940" s="2" t="str">
        <f>IF($G940="","",IF(AND(OR($O940="Vet",$O940="Woman Vet"),ISERROR(MATCH($N940,Lge_Vets!$B:$B,0))),1,0))</f>
        <v/>
      </c>
      <c r="E940" s="2" t="str">
        <f>IF($G940="","",IF(AND(OR($O940="Junior",$O940="Woman Junior",$O940="Youth",$O940="Woman Youth"),ISERROR(MATCH($N940,Lge_Junior!$B:$B,0))),1,0))</f>
        <v/>
      </c>
      <c r="F940" s="2" t="str">
        <f>IF($G940="","",IF(AND(LEFT($O940,3)="You",ISERROR(MATCH($N940,Lge_Youth!$B:$B,0))),1,0))</f>
        <v/>
      </c>
      <c r="G940" s="3"/>
      <c r="H940" s="3"/>
      <c r="I940" s="3"/>
      <c r="J940" s="3"/>
      <c r="K940" s="6"/>
      <c r="L940" s="4"/>
      <c r="M940" s="4"/>
      <c r="N940" s="8"/>
      <c r="O940" s="8"/>
      <c r="P940" s="9"/>
      <c r="Q940" s="8"/>
      <c r="R940" s="8"/>
      <c r="S940" s="9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10"/>
    </row>
    <row r="941" spans="1:39" x14ac:dyDescent="0.2">
      <c r="A941" s="2" t="str">
        <f>IF($G941="","",IF(ISERROR(MATCH($N941,Lge_Scratch!$B:$B,0)),1,0))</f>
        <v/>
      </c>
      <c r="B941" s="2" t="str">
        <f>IF($G941="","",IF(AND(LEFT($Q941,8)="Non-aero",ISERROR(MATCH($N941,Lge_NonAero!$B:$B,0))),1,0))</f>
        <v/>
      </c>
      <c r="C941" s="5" t="str">
        <f>IF($G941="","",IF(AND(LEFT($O941,3)="Wom",ISERROR(MATCH($N941,Lge_Women!$B:$B,0))),1,0))</f>
        <v/>
      </c>
      <c r="D941" s="2" t="str">
        <f>IF($G941="","",IF(AND(OR($O941="Vet",$O941="Woman Vet"),ISERROR(MATCH($N941,Lge_Vets!$B:$B,0))),1,0))</f>
        <v/>
      </c>
      <c r="E941" s="2" t="str">
        <f>IF($G941="","",IF(AND(OR($O941="Junior",$O941="Woman Junior",$O941="Youth",$O941="Woman Youth"),ISERROR(MATCH($N941,Lge_Junior!$B:$B,0))),1,0))</f>
        <v/>
      </c>
      <c r="F941" s="2" t="str">
        <f>IF($G941="","",IF(AND(LEFT($O941,3)="You",ISERROR(MATCH($N941,Lge_Youth!$B:$B,0))),1,0))</f>
        <v/>
      </c>
      <c r="G941" s="3"/>
      <c r="H941" s="3"/>
      <c r="I941" s="3"/>
      <c r="J941" s="3"/>
      <c r="K941" s="6"/>
      <c r="L941" s="4"/>
      <c r="M941" s="4"/>
      <c r="N941" s="8"/>
      <c r="O941" s="8"/>
      <c r="P941" s="9"/>
      <c r="Q941" s="8"/>
      <c r="R941" s="8"/>
      <c r="S941" s="9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10"/>
    </row>
    <row r="942" spans="1:39" x14ac:dyDescent="0.2">
      <c r="A942" s="2" t="str">
        <f>IF($G942="","",IF(ISERROR(MATCH($N942,Lge_Scratch!$B:$B,0)),1,0))</f>
        <v/>
      </c>
      <c r="B942" s="2" t="str">
        <f>IF($G942="","",IF(AND(LEFT($Q942,8)="Non-aero",ISERROR(MATCH($N942,Lge_NonAero!$B:$B,0))),1,0))</f>
        <v/>
      </c>
      <c r="C942" s="5" t="str">
        <f>IF($G942="","",IF(AND(LEFT($O942,3)="Wom",ISERROR(MATCH($N942,Lge_Women!$B:$B,0))),1,0))</f>
        <v/>
      </c>
      <c r="D942" s="2" t="str">
        <f>IF($G942="","",IF(AND(OR($O942="Vet",$O942="Woman Vet"),ISERROR(MATCH($N942,Lge_Vets!$B:$B,0))),1,0))</f>
        <v/>
      </c>
      <c r="E942" s="2" t="str">
        <f>IF($G942="","",IF(AND(OR($O942="Junior",$O942="Woman Junior",$O942="Youth",$O942="Woman Youth"),ISERROR(MATCH($N942,Lge_Junior!$B:$B,0))),1,0))</f>
        <v/>
      </c>
      <c r="F942" s="2" t="str">
        <f>IF($G942="","",IF(AND(LEFT($O942,3)="You",ISERROR(MATCH($N942,Lge_Youth!$B:$B,0))),1,0))</f>
        <v/>
      </c>
      <c r="G942" s="3"/>
      <c r="H942" s="3"/>
      <c r="I942" s="3"/>
      <c r="J942" s="3"/>
      <c r="K942" s="6"/>
      <c r="L942" s="4"/>
      <c r="M942" s="4"/>
      <c r="N942" s="8"/>
      <c r="O942" s="8"/>
      <c r="P942" s="9"/>
      <c r="Q942" s="8"/>
      <c r="R942" s="8"/>
      <c r="S942" s="9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10"/>
    </row>
    <row r="943" spans="1:39" x14ac:dyDescent="0.2">
      <c r="A943" s="2" t="str">
        <f>IF($G943="","",IF(ISERROR(MATCH($N943,Lge_Scratch!$B:$B,0)),1,0))</f>
        <v/>
      </c>
      <c r="B943" s="2" t="str">
        <f>IF($G943="","",IF(AND(LEFT($Q943,8)="Non-aero",ISERROR(MATCH($N943,Lge_NonAero!$B:$B,0))),1,0))</f>
        <v/>
      </c>
      <c r="C943" s="5" t="str">
        <f>IF($G943="","",IF(AND(LEFT($O943,3)="Wom",ISERROR(MATCH($N943,Lge_Women!$B:$B,0))),1,0))</f>
        <v/>
      </c>
      <c r="D943" s="2" t="str">
        <f>IF($G943="","",IF(AND(OR($O943="Vet",$O943="Woman Vet"),ISERROR(MATCH($N943,Lge_Vets!$B:$B,0))),1,0))</f>
        <v/>
      </c>
      <c r="E943" s="2" t="str">
        <f>IF($G943="","",IF(AND(OR($O943="Junior",$O943="Woman Junior",$O943="Youth",$O943="Woman Youth"),ISERROR(MATCH($N943,Lge_Junior!$B:$B,0))),1,0))</f>
        <v/>
      </c>
      <c r="F943" s="2" t="str">
        <f>IF($G943="","",IF(AND(LEFT($O943,3)="You",ISERROR(MATCH($N943,Lge_Youth!$B:$B,0))),1,0))</f>
        <v/>
      </c>
      <c r="G943" s="3"/>
      <c r="H943" s="3"/>
      <c r="I943" s="3"/>
      <c r="J943" s="3"/>
      <c r="K943" s="6"/>
      <c r="L943" s="4"/>
      <c r="M943" s="4"/>
      <c r="N943" s="8"/>
      <c r="O943" s="8"/>
      <c r="P943" s="9"/>
      <c r="Q943" s="8"/>
      <c r="R943" s="8"/>
      <c r="S943" s="9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10"/>
    </row>
    <row r="944" spans="1:39" x14ac:dyDescent="0.2">
      <c r="A944" s="2" t="str">
        <f>IF($G944="","",IF(ISERROR(MATCH($N944,Lge_Scratch!$B:$B,0)),1,0))</f>
        <v/>
      </c>
      <c r="B944" s="2" t="str">
        <f>IF($G944="","",IF(AND(LEFT($Q944,8)="Non-aero",ISERROR(MATCH($N944,Lge_NonAero!$B:$B,0))),1,0))</f>
        <v/>
      </c>
      <c r="C944" s="5" t="str">
        <f>IF($G944="","",IF(AND(LEFT($O944,3)="Wom",ISERROR(MATCH($N944,Lge_Women!$B:$B,0))),1,0))</f>
        <v/>
      </c>
      <c r="D944" s="2" t="str">
        <f>IF($G944="","",IF(AND(OR($O944="Vet",$O944="Woman Vet"),ISERROR(MATCH($N944,Lge_Vets!$B:$B,0))),1,0))</f>
        <v/>
      </c>
      <c r="E944" s="2" t="str">
        <f>IF($G944="","",IF(AND(OR($O944="Junior",$O944="Woman Junior",$O944="Youth",$O944="Woman Youth"),ISERROR(MATCH($N944,Lge_Junior!$B:$B,0))),1,0))</f>
        <v/>
      </c>
      <c r="F944" s="2" t="str">
        <f>IF($G944="","",IF(AND(LEFT($O944,3)="You",ISERROR(MATCH($N944,Lge_Youth!$B:$B,0))),1,0))</f>
        <v/>
      </c>
      <c r="G944" s="3"/>
      <c r="H944" s="3"/>
      <c r="I944" s="3"/>
      <c r="J944" s="3"/>
      <c r="K944" s="6"/>
      <c r="L944" s="4"/>
      <c r="M944" s="4"/>
      <c r="N944" s="8"/>
      <c r="O944" s="8"/>
      <c r="P944" s="9"/>
      <c r="Q944" s="8"/>
      <c r="R944" s="8"/>
      <c r="S944" s="9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10"/>
    </row>
    <row r="945" spans="1:39" x14ac:dyDescent="0.2">
      <c r="A945" s="2" t="str">
        <f>IF($G945="","",IF(ISERROR(MATCH($N945,Lge_Scratch!$B:$B,0)),1,0))</f>
        <v/>
      </c>
      <c r="B945" s="2" t="str">
        <f>IF($G945="","",IF(AND(LEFT($Q945,8)="Non-aero",ISERROR(MATCH($N945,Lge_NonAero!$B:$B,0))),1,0))</f>
        <v/>
      </c>
      <c r="C945" s="5" t="str">
        <f>IF($G945="","",IF(AND(LEFT($O945,3)="Wom",ISERROR(MATCH($N945,Lge_Women!$B:$B,0))),1,0))</f>
        <v/>
      </c>
      <c r="D945" s="2" t="str">
        <f>IF($G945="","",IF(AND(OR($O945="Vet",$O945="Woman Vet"),ISERROR(MATCH($N945,Lge_Vets!$B:$B,0))),1,0))</f>
        <v/>
      </c>
      <c r="E945" s="2" t="str">
        <f>IF($G945="","",IF(AND(OR($O945="Junior",$O945="Woman Junior",$O945="Youth",$O945="Woman Youth"),ISERROR(MATCH($N945,Lge_Junior!$B:$B,0))),1,0))</f>
        <v/>
      </c>
      <c r="F945" s="2" t="str">
        <f>IF($G945="","",IF(AND(LEFT($O945,3)="You",ISERROR(MATCH($N945,Lge_Youth!$B:$B,0))),1,0))</f>
        <v/>
      </c>
      <c r="G945" s="3"/>
      <c r="H945" s="3"/>
      <c r="I945" s="3"/>
      <c r="J945" s="3"/>
      <c r="K945" s="6"/>
      <c r="L945" s="4"/>
      <c r="M945" s="4"/>
      <c r="N945" s="8"/>
      <c r="O945" s="8"/>
      <c r="P945" s="9"/>
      <c r="Q945" s="8"/>
      <c r="R945" s="8"/>
      <c r="S945" s="9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10"/>
    </row>
    <row r="946" spans="1:39" x14ac:dyDescent="0.2">
      <c r="A946" s="2" t="str">
        <f>IF($G946="","",IF(ISERROR(MATCH($N946,Lge_Scratch!$B:$B,0)),1,0))</f>
        <v/>
      </c>
      <c r="B946" s="2" t="str">
        <f>IF($G946="","",IF(AND(LEFT($Q946,8)="Non-aero",ISERROR(MATCH($N946,Lge_NonAero!$B:$B,0))),1,0))</f>
        <v/>
      </c>
      <c r="C946" s="5" t="str">
        <f>IF($G946="","",IF(AND(LEFT($O946,3)="Wom",ISERROR(MATCH($N946,Lge_Women!$B:$B,0))),1,0))</f>
        <v/>
      </c>
      <c r="D946" s="2" t="str">
        <f>IF($G946="","",IF(AND(OR($O946="Vet",$O946="Woman Vet"),ISERROR(MATCH($N946,Lge_Vets!$B:$B,0))),1,0))</f>
        <v/>
      </c>
      <c r="E946" s="2" t="str">
        <f>IF($G946="","",IF(AND(OR($O946="Junior",$O946="Woman Junior",$O946="Youth",$O946="Woman Youth"),ISERROR(MATCH($N946,Lge_Junior!$B:$B,0))),1,0))</f>
        <v/>
      </c>
      <c r="F946" s="2" t="str">
        <f>IF($G946="","",IF(AND(LEFT($O946,3)="You",ISERROR(MATCH($N946,Lge_Youth!$B:$B,0))),1,0))</f>
        <v/>
      </c>
      <c r="G946" s="3"/>
      <c r="H946" s="3"/>
      <c r="I946" s="3"/>
      <c r="J946" s="3"/>
      <c r="K946" s="6"/>
      <c r="L946" s="4"/>
      <c r="M946" s="4"/>
      <c r="N946" s="8"/>
      <c r="O946" s="8"/>
      <c r="P946" s="9"/>
      <c r="Q946" s="8"/>
      <c r="R946" s="8"/>
      <c r="S946" s="9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10"/>
    </row>
    <row r="947" spans="1:39" x14ac:dyDescent="0.2">
      <c r="A947" s="2" t="str">
        <f>IF($G947="","",IF(ISERROR(MATCH($N947,Lge_Scratch!$B:$B,0)),1,0))</f>
        <v/>
      </c>
      <c r="B947" s="2" t="str">
        <f>IF($G947="","",IF(AND(LEFT($Q947,8)="Non-aero",ISERROR(MATCH($N947,Lge_NonAero!$B:$B,0))),1,0))</f>
        <v/>
      </c>
      <c r="C947" s="5" t="str">
        <f>IF($G947="","",IF(AND(LEFT($O947,3)="Wom",ISERROR(MATCH($N947,Lge_Women!$B:$B,0))),1,0))</f>
        <v/>
      </c>
      <c r="D947" s="2" t="str">
        <f>IF($G947="","",IF(AND(OR($O947="Vet",$O947="Woman Vet"),ISERROR(MATCH($N947,Lge_Vets!$B:$B,0))),1,0))</f>
        <v/>
      </c>
      <c r="E947" s="2" t="str">
        <f>IF($G947="","",IF(AND(OR($O947="Junior",$O947="Woman Junior",$O947="Youth",$O947="Woman Youth"),ISERROR(MATCH($N947,Lge_Junior!$B:$B,0))),1,0))</f>
        <v/>
      </c>
      <c r="F947" s="2" t="str">
        <f>IF($G947="","",IF(AND(LEFT($O947,3)="You",ISERROR(MATCH($N947,Lge_Youth!$B:$B,0))),1,0))</f>
        <v/>
      </c>
      <c r="G947" s="3"/>
      <c r="H947" s="3"/>
      <c r="I947" s="3"/>
      <c r="J947" s="3"/>
      <c r="K947" s="6"/>
      <c r="L947" s="4"/>
      <c r="M947" s="4"/>
      <c r="N947" s="8"/>
      <c r="O947" s="8"/>
      <c r="P947" s="9"/>
      <c r="Q947" s="8"/>
      <c r="R947" s="8"/>
      <c r="S947" s="9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10"/>
    </row>
    <row r="948" spans="1:39" x14ac:dyDescent="0.2">
      <c r="A948" s="2" t="str">
        <f>IF($G948="","",IF(ISERROR(MATCH($N948,Lge_Scratch!$B:$B,0)),1,0))</f>
        <v/>
      </c>
      <c r="B948" s="2" t="str">
        <f>IF($G948="","",IF(AND(LEFT($Q948,8)="Non-aero",ISERROR(MATCH($N948,Lge_NonAero!$B:$B,0))),1,0))</f>
        <v/>
      </c>
      <c r="C948" s="5" t="str">
        <f>IF($G948="","",IF(AND(LEFT($O948,3)="Wom",ISERROR(MATCH($N948,Lge_Women!$B:$B,0))),1,0))</f>
        <v/>
      </c>
      <c r="D948" s="2" t="str">
        <f>IF($G948="","",IF(AND(OR($O948="Vet",$O948="Woman Vet"),ISERROR(MATCH($N948,Lge_Vets!$B:$B,0))),1,0))</f>
        <v/>
      </c>
      <c r="E948" s="2" t="str">
        <f>IF($G948="","",IF(AND(OR($O948="Junior",$O948="Woman Junior",$O948="Youth",$O948="Woman Youth"),ISERROR(MATCH($N948,Lge_Junior!$B:$B,0))),1,0))</f>
        <v/>
      </c>
      <c r="F948" s="2" t="str">
        <f>IF($G948="","",IF(AND(LEFT($O948,3)="You",ISERROR(MATCH($N948,Lge_Youth!$B:$B,0))),1,0))</f>
        <v/>
      </c>
      <c r="G948" s="3"/>
      <c r="H948" s="3"/>
      <c r="I948" s="3"/>
      <c r="J948" s="3"/>
      <c r="K948" s="6"/>
      <c r="L948" s="4"/>
      <c r="M948" s="4"/>
      <c r="N948" s="8"/>
      <c r="O948" s="8"/>
      <c r="P948" s="9"/>
      <c r="Q948" s="8"/>
      <c r="R948" s="8"/>
      <c r="S948" s="9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10"/>
    </row>
    <row r="949" spans="1:39" x14ac:dyDescent="0.2">
      <c r="A949" s="2" t="str">
        <f>IF($G949="","",IF(ISERROR(MATCH($N949,Lge_Scratch!$B:$B,0)),1,0))</f>
        <v/>
      </c>
      <c r="B949" s="2" t="str">
        <f>IF($G949="","",IF(AND(LEFT($Q949,8)="Non-aero",ISERROR(MATCH($N949,Lge_NonAero!$B:$B,0))),1,0))</f>
        <v/>
      </c>
      <c r="C949" s="5" t="str">
        <f>IF($G949="","",IF(AND(LEFT($O949,3)="Wom",ISERROR(MATCH($N949,Lge_Women!$B:$B,0))),1,0))</f>
        <v/>
      </c>
      <c r="D949" s="2" t="str">
        <f>IF($G949="","",IF(AND(OR($O949="Vet",$O949="Woman Vet"),ISERROR(MATCH($N949,Lge_Vets!$B:$B,0))),1,0))</f>
        <v/>
      </c>
      <c r="E949" s="2" t="str">
        <f>IF($G949="","",IF(AND(OR($O949="Junior",$O949="Woman Junior",$O949="Youth",$O949="Woman Youth"),ISERROR(MATCH($N949,Lge_Junior!$B:$B,0))),1,0))</f>
        <v/>
      </c>
      <c r="F949" s="2" t="str">
        <f>IF($G949="","",IF(AND(LEFT($O949,3)="You",ISERROR(MATCH($N949,Lge_Youth!$B:$B,0))),1,0))</f>
        <v/>
      </c>
      <c r="G949" s="3"/>
      <c r="H949" s="3"/>
      <c r="I949" s="3"/>
      <c r="J949" s="3"/>
      <c r="K949" s="6"/>
      <c r="L949" s="4"/>
      <c r="M949" s="4"/>
      <c r="N949" s="8"/>
      <c r="O949" s="8"/>
      <c r="P949" s="9"/>
      <c r="Q949" s="8"/>
      <c r="R949" s="8"/>
      <c r="S949" s="9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10"/>
    </row>
    <row r="950" spans="1:39" x14ac:dyDescent="0.2">
      <c r="A950" s="2" t="str">
        <f>IF($G950="","",IF(ISERROR(MATCH($N950,Lge_Scratch!$B:$B,0)),1,0))</f>
        <v/>
      </c>
      <c r="B950" s="2" t="str">
        <f>IF($G950="","",IF(AND(LEFT($Q950,8)="Non-aero",ISERROR(MATCH($N950,Lge_NonAero!$B:$B,0))),1,0))</f>
        <v/>
      </c>
      <c r="C950" s="5" t="str">
        <f>IF($G950="","",IF(AND(LEFT($O950,3)="Wom",ISERROR(MATCH($N950,Lge_Women!$B:$B,0))),1,0))</f>
        <v/>
      </c>
      <c r="D950" s="2" t="str">
        <f>IF($G950="","",IF(AND(OR($O950="Vet",$O950="Woman Vet"),ISERROR(MATCH($N950,Lge_Vets!$B:$B,0))),1,0))</f>
        <v/>
      </c>
      <c r="E950" s="2" t="str">
        <f>IF($G950="","",IF(AND(OR($O950="Junior",$O950="Woman Junior",$O950="Youth",$O950="Woman Youth"),ISERROR(MATCH($N950,Lge_Junior!$B:$B,0))),1,0))</f>
        <v/>
      </c>
      <c r="F950" s="2" t="str">
        <f>IF($G950="","",IF(AND(LEFT($O950,3)="You",ISERROR(MATCH($N950,Lge_Youth!$B:$B,0))),1,0))</f>
        <v/>
      </c>
      <c r="G950" s="3"/>
      <c r="H950" s="3"/>
      <c r="I950" s="3"/>
      <c r="J950" s="3"/>
      <c r="K950" s="6"/>
      <c r="L950" s="4"/>
      <c r="M950" s="4"/>
      <c r="N950" s="8"/>
      <c r="O950" s="8"/>
      <c r="P950" s="9"/>
      <c r="Q950" s="8"/>
      <c r="R950" s="8"/>
      <c r="S950" s="9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10"/>
    </row>
    <row r="951" spans="1:39" x14ac:dyDescent="0.2">
      <c r="A951" s="2" t="str">
        <f>IF($G951="","",IF(ISERROR(MATCH($N951,Lge_Scratch!$B:$B,0)),1,0))</f>
        <v/>
      </c>
      <c r="B951" s="2" t="str">
        <f>IF($G951="","",IF(AND(LEFT($Q951,8)="Non-aero",ISERROR(MATCH($N951,Lge_NonAero!$B:$B,0))),1,0))</f>
        <v/>
      </c>
      <c r="C951" s="5" t="str">
        <f>IF($G951="","",IF(AND(LEFT($O951,3)="Wom",ISERROR(MATCH($N951,Lge_Women!$B:$B,0))),1,0))</f>
        <v/>
      </c>
      <c r="D951" s="2" t="str">
        <f>IF($G951="","",IF(AND(OR($O951="Vet",$O951="Woman Vet"),ISERROR(MATCH($N951,Lge_Vets!$B:$B,0))),1,0))</f>
        <v/>
      </c>
      <c r="E951" s="2" t="str">
        <f>IF($G951="","",IF(AND(OR($O951="Junior",$O951="Woman Junior",$O951="Youth",$O951="Woman Youth"),ISERROR(MATCH($N951,Lge_Junior!$B:$B,0))),1,0))</f>
        <v/>
      </c>
      <c r="F951" s="2" t="str">
        <f>IF($G951="","",IF(AND(LEFT($O951,3)="You",ISERROR(MATCH($N951,Lge_Youth!$B:$B,0))),1,0))</f>
        <v/>
      </c>
      <c r="G951" s="3"/>
      <c r="H951" s="3"/>
      <c r="I951" s="3"/>
      <c r="J951" s="3"/>
      <c r="K951" s="6"/>
      <c r="L951" s="4"/>
      <c r="M951" s="4"/>
      <c r="N951" s="8"/>
      <c r="O951" s="8"/>
      <c r="P951" s="9"/>
      <c r="Q951" s="8"/>
      <c r="R951" s="8"/>
      <c r="S951" s="9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10"/>
    </row>
    <row r="952" spans="1:39" x14ac:dyDescent="0.2">
      <c r="A952" s="2" t="str">
        <f>IF($G952="","",IF(ISERROR(MATCH($N952,Lge_Scratch!$B:$B,0)),1,0))</f>
        <v/>
      </c>
      <c r="B952" s="2" t="str">
        <f>IF($G952="","",IF(AND(LEFT($Q952,8)="Non-aero",ISERROR(MATCH($N952,Lge_NonAero!$B:$B,0))),1,0))</f>
        <v/>
      </c>
      <c r="C952" s="5" t="str">
        <f>IF($G952="","",IF(AND(LEFT($O952,3)="Wom",ISERROR(MATCH($N952,Lge_Women!$B:$B,0))),1,0))</f>
        <v/>
      </c>
      <c r="D952" s="2" t="str">
        <f>IF($G952="","",IF(AND(OR($O952="Vet",$O952="Woman Vet"),ISERROR(MATCH($N952,Lge_Vets!$B:$B,0))),1,0))</f>
        <v/>
      </c>
      <c r="E952" s="2" t="str">
        <f>IF($G952="","",IF(AND(OR($O952="Junior",$O952="Woman Junior",$O952="Youth",$O952="Woman Youth"),ISERROR(MATCH($N952,Lge_Junior!$B:$B,0))),1,0))</f>
        <v/>
      </c>
      <c r="F952" s="2" t="str">
        <f>IF($G952="","",IF(AND(LEFT($O952,3)="You",ISERROR(MATCH($N952,Lge_Youth!$B:$B,0))),1,0))</f>
        <v/>
      </c>
      <c r="G952" s="3"/>
      <c r="H952" s="3"/>
      <c r="I952" s="3"/>
      <c r="J952" s="3"/>
      <c r="K952" s="6"/>
      <c r="L952" s="4"/>
      <c r="M952" s="4"/>
      <c r="N952" s="8"/>
      <c r="O952" s="8"/>
      <c r="P952" s="9"/>
      <c r="Q952" s="8"/>
      <c r="R952" s="8"/>
      <c r="S952" s="9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10"/>
    </row>
    <row r="953" spans="1:39" x14ac:dyDescent="0.2">
      <c r="A953" s="2" t="str">
        <f>IF($G953="","",IF(ISERROR(MATCH($N953,Lge_Scratch!$B:$B,0)),1,0))</f>
        <v/>
      </c>
      <c r="B953" s="2" t="str">
        <f>IF($G953="","",IF(AND(LEFT($Q953,8)="Non-aero",ISERROR(MATCH($N953,Lge_NonAero!$B:$B,0))),1,0))</f>
        <v/>
      </c>
      <c r="C953" s="5" t="str">
        <f>IF($G953="","",IF(AND(LEFT($O953,3)="Wom",ISERROR(MATCH($N953,Lge_Women!$B:$B,0))),1,0))</f>
        <v/>
      </c>
      <c r="D953" s="2" t="str">
        <f>IF($G953="","",IF(AND(OR($O953="Vet",$O953="Woman Vet"),ISERROR(MATCH($N953,Lge_Vets!$B:$B,0))),1,0))</f>
        <v/>
      </c>
      <c r="E953" s="2" t="str">
        <f>IF($G953="","",IF(AND(OR($O953="Junior",$O953="Woman Junior",$O953="Youth",$O953="Woman Youth"),ISERROR(MATCH($N953,Lge_Junior!$B:$B,0))),1,0))</f>
        <v/>
      </c>
      <c r="F953" s="2" t="str">
        <f>IF($G953="","",IF(AND(LEFT($O953,3)="You",ISERROR(MATCH($N953,Lge_Youth!$B:$B,0))),1,0))</f>
        <v/>
      </c>
      <c r="G953" s="3"/>
      <c r="H953" s="3"/>
      <c r="I953" s="3"/>
      <c r="J953" s="3"/>
      <c r="K953" s="6"/>
      <c r="L953" s="4"/>
      <c r="M953" s="4"/>
      <c r="N953" s="8"/>
      <c r="O953" s="8"/>
      <c r="P953" s="9"/>
      <c r="Q953" s="8"/>
      <c r="R953" s="8"/>
      <c r="S953" s="9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10"/>
    </row>
    <row r="954" spans="1:39" x14ac:dyDescent="0.2">
      <c r="A954" s="2" t="str">
        <f>IF($G954="","",IF(ISERROR(MATCH($N954,Lge_Scratch!$B:$B,0)),1,0))</f>
        <v/>
      </c>
      <c r="B954" s="2" t="str">
        <f>IF($G954="","",IF(AND(LEFT($Q954,8)="Non-aero",ISERROR(MATCH($N954,Lge_NonAero!$B:$B,0))),1,0))</f>
        <v/>
      </c>
      <c r="C954" s="5" t="str">
        <f>IF($G954="","",IF(AND(LEFT($O954,3)="Wom",ISERROR(MATCH($N954,Lge_Women!$B:$B,0))),1,0))</f>
        <v/>
      </c>
      <c r="D954" s="2" t="str">
        <f>IF($G954="","",IF(AND(OR($O954="Vet",$O954="Woman Vet"),ISERROR(MATCH($N954,Lge_Vets!$B:$B,0))),1,0))</f>
        <v/>
      </c>
      <c r="E954" s="2" t="str">
        <f>IF($G954="","",IF(AND(OR($O954="Junior",$O954="Woman Junior",$O954="Youth",$O954="Woman Youth"),ISERROR(MATCH($N954,Lge_Junior!$B:$B,0))),1,0))</f>
        <v/>
      </c>
      <c r="F954" s="2" t="str">
        <f>IF($G954="","",IF(AND(LEFT($O954,3)="You",ISERROR(MATCH($N954,Lge_Youth!$B:$B,0))),1,0))</f>
        <v/>
      </c>
      <c r="G954" s="3"/>
      <c r="H954" s="3"/>
      <c r="I954" s="3"/>
      <c r="J954" s="3"/>
      <c r="K954" s="6"/>
      <c r="L954" s="4"/>
      <c r="M954" s="4"/>
      <c r="N954" s="8"/>
      <c r="O954" s="8"/>
      <c r="P954" s="9"/>
      <c r="Q954" s="8"/>
      <c r="R954" s="8"/>
      <c r="S954" s="9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10"/>
    </row>
    <row r="955" spans="1:39" x14ac:dyDescent="0.2">
      <c r="A955" s="2" t="str">
        <f>IF($G955="","",IF(ISERROR(MATCH($N955,Lge_Scratch!$B:$B,0)),1,0))</f>
        <v/>
      </c>
      <c r="B955" s="2" t="str">
        <f>IF($G955="","",IF(AND(LEFT($Q955,8)="Non-aero",ISERROR(MATCH($N955,Lge_NonAero!$B:$B,0))),1,0))</f>
        <v/>
      </c>
      <c r="C955" s="5" t="str">
        <f>IF($G955="","",IF(AND(LEFT($O955,3)="Wom",ISERROR(MATCH($N955,Lge_Women!$B:$B,0))),1,0))</f>
        <v/>
      </c>
      <c r="D955" s="2" t="str">
        <f>IF($G955="","",IF(AND(OR($O955="Vet",$O955="Woman Vet"),ISERROR(MATCH($N955,Lge_Vets!$B:$B,0))),1,0))</f>
        <v/>
      </c>
      <c r="E955" s="2" t="str">
        <f>IF($G955="","",IF(AND(OR($O955="Junior",$O955="Woman Junior",$O955="Youth",$O955="Woman Youth"),ISERROR(MATCH($N955,Lge_Junior!$B:$B,0))),1,0))</f>
        <v/>
      </c>
      <c r="F955" s="2" t="str">
        <f>IF($G955="","",IF(AND(LEFT($O955,3)="You",ISERROR(MATCH($N955,Lge_Youth!$B:$B,0))),1,0))</f>
        <v/>
      </c>
      <c r="G955" s="3"/>
      <c r="H955" s="3"/>
      <c r="I955" s="3"/>
      <c r="J955" s="3"/>
      <c r="K955" s="6"/>
      <c r="L955" s="4"/>
      <c r="M955" s="4"/>
      <c r="N955" s="8"/>
      <c r="O955" s="8"/>
      <c r="P955" s="9"/>
      <c r="Q955" s="8"/>
      <c r="R955" s="8"/>
      <c r="S955" s="9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10"/>
    </row>
    <row r="956" spans="1:39" x14ac:dyDescent="0.2">
      <c r="A956" s="2" t="str">
        <f>IF($G956="","",IF(ISERROR(MATCH($N956,Lge_Scratch!$B:$B,0)),1,0))</f>
        <v/>
      </c>
      <c r="B956" s="2" t="str">
        <f>IF($G956="","",IF(AND(LEFT($Q956,8)="Non-aero",ISERROR(MATCH($N956,Lge_NonAero!$B:$B,0))),1,0))</f>
        <v/>
      </c>
      <c r="C956" s="5" t="str">
        <f>IF($G956="","",IF(AND(LEFT($O956,3)="Wom",ISERROR(MATCH($N956,Lge_Women!$B:$B,0))),1,0))</f>
        <v/>
      </c>
      <c r="D956" s="2" t="str">
        <f>IF($G956="","",IF(AND(OR($O956="Vet",$O956="Woman Vet"),ISERROR(MATCH($N956,Lge_Vets!$B:$B,0))),1,0))</f>
        <v/>
      </c>
      <c r="E956" s="2" t="str">
        <f>IF($G956="","",IF(AND(OR($O956="Junior",$O956="Woman Junior",$O956="Youth",$O956="Woman Youth"),ISERROR(MATCH($N956,Lge_Junior!$B:$B,0))),1,0))</f>
        <v/>
      </c>
      <c r="F956" s="2" t="str">
        <f>IF($G956="","",IF(AND(LEFT($O956,3)="You",ISERROR(MATCH($N956,Lge_Youth!$B:$B,0))),1,0))</f>
        <v/>
      </c>
      <c r="G956" s="3"/>
      <c r="H956" s="3"/>
      <c r="I956" s="3"/>
      <c r="J956" s="3"/>
      <c r="K956" s="6"/>
      <c r="L956" s="4"/>
      <c r="M956" s="4"/>
      <c r="N956" s="8"/>
      <c r="O956" s="8"/>
      <c r="P956" s="9"/>
      <c r="Q956" s="8"/>
      <c r="R956" s="8"/>
      <c r="S956" s="9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10"/>
    </row>
    <row r="957" spans="1:39" x14ac:dyDescent="0.2">
      <c r="A957" s="2" t="str">
        <f>IF($G957="","",IF(ISERROR(MATCH($N957,Lge_Scratch!$B:$B,0)),1,0))</f>
        <v/>
      </c>
      <c r="B957" s="2" t="str">
        <f>IF($G957="","",IF(AND(LEFT($Q957,8)="Non-aero",ISERROR(MATCH($N957,Lge_NonAero!$B:$B,0))),1,0))</f>
        <v/>
      </c>
      <c r="C957" s="5" t="str">
        <f>IF($G957="","",IF(AND(LEFT($O957,3)="Wom",ISERROR(MATCH($N957,Lge_Women!$B:$B,0))),1,0))</f>
        <v/>
      </c>
      <c r="D957" s="2" t="str">
        <f>IF($G957="","",IF(AND(OR($O957="Vet",$O957="Woman Vet"),ISERROR(MATCH($N957,Lge_Vets!$B:$B,0))),1,0))</f>
        <v/>
      </c>
      <c r="E957" s="2" t="str">
        <f>IF($G957="","",IF(AND(OR($O957="Junior",$O957="Woman Junior",$O957="Youth",$O957="Woman Youth"),ISERROR(MATCH($N957,Lge_Junior!$B:$B,0))),1,0))</f>
        <v/>
      </c>
      <c r="F957" s="2" t="str">
        <f>IF($G957="","",IF(AND(LEFT($O957,3)="You",ISERROR(MATCH($N957,Lge_Youth!$B:$B,0))),1,0))</f>
        <v/>
      </c>
      <c r="G957" s="3"/>
      <c r="H957" s="3"/>
      <c r="I957" s="3"/>
      <c r="J957" s="3"/>
      <c r="K957" s="6"/>
      <c r="L957" s="4"/>
      <c r="M957" s="4"/>
      <c r="N957" s="8"/>
      <c r="O957" s="8"/>
      <c r="P957" s="9"/>
      <c r="Q957" s="8"/>
      <c r="R957" s="8"/>
      <c r="S957" s="9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10"/>
    </row>
    <row r="958" spans="1:39" x14ac:dyDescent="0.2">
      <c r="A958" s="2" t="str">
        <f>IF($G958="","",IF(ISERROR(MATCH($N958,Lge_Scratch!$B:$B,0)),1,0))</f>
        <v/>
      </c>
      <c r="B958" s="2" t="str">
        <f>IF($G958="","",IF(AND(LEFT($Q958,8)="Non-aero",ISERROR(MATCH($N958,Lge_NonAero!$B:$B,0))),1,0))</f>
        <v/>
      </c>
      <c r="C958" s="5" t="str">
        <f>IF($G958="","",IF(AND(LEFT($O958,3)="Wom",ISERROR(MATCH($N958,Lge_Women!$B:$B,0))),1,0))</f>
        <v/>
      </c>
      <c r="D958" s="2" t="str">
        <f>IF($G958="","",IF(AND(OR($O958="Vet",$O958="Woman Vet"),ISERROR(MATCH($N958,Lge_Vets!$B:$B,0))),1,0))</f>
        <v/>
      </c>
      <c r="E958" s="2" t="str">
        <f>IF($G958="","",IF(AND(OR($O958="Junior",$O958="Woman Junior",$O958="Youth",$O958="Woman Youth"),ISERROR(MATCH($N958,Lge_Junior!$B:$B,0))),1,0))</f>
        <v/>
      </c>
      <c r="F958" s="2" t="str">
        <f>IF($G958="","",IF(AND(LEFT($O958,3)="You",ISERROR(MATCH($N958,Lge_Youth!$B:$B,0))),1,0))</f>
        <v/>
      </c>
      <c r="G958" s="3"/>
      <c r="H958" s="3"/>
      <c r="I958" s="3"/>
      <c r="J958" s="3"/>
      <c r="K958" s="6"/>
      <c r="L958" s="4"/>
      <c r="M958" s="4"/>
      <c r="N958" s="8"/>
      <c r="O958" s="8"/>
      <c r="P958" s="9"/>
      <c r="Q958" s="8"/>
      <c r="R958" s="8"/>
      <c r="S958" s="9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10"/>
    </row>
    <row r="959" spans="1:39" x14ac:dyDescent="0.2">
      <c r="A959" s="2" t="str">
        <f>IF($G959="","",IF(ISERROR(MATCH($N959,Lge_Scratch!$B:$B,0)),1,0))</f>
        <v/>
      </c>
      <c r="B959" s="2" t="str">
        <f>IF($G959="","",IF(AND(LEFT($Q959,8)="Non-aero",ISERROR(MATCH($N959,Lge_NonAero!$B:$B,0))),1,0))</f>
        <v/>
      </c>
      <c r="C959" s="5" t="str">
        <f>IF($G959="","",IF(AND(LEFT($O959,3)="Wom",ISERROR(MATCH($N959,Lge_Women!$B:$B,0))),1,0))</f>
        <v/>
      </c>
      <c r="D959" s="2" t="str">
        <f>IF($G959="","",IF(AND(OR($O959="Vet",$O959="Woman Vet"),ISERROR(MATCH($N959,Lge_Vets!$B:$B,0))),1,0))</f>
        <v/>
      </c>
      <c r="E959" s="2" t="str">
        <f>IF($G959="","",IF(AND(OR($O959="Junior",$O959="Woman Junior",$O959="Youth",$O959="Woman Youth"),ISERROR(MATCH($N959,Lge_Junior!$B:$B,0))),1,0))</f>
        <v/>
      </c>
      <c r="F959" s="2" t="str">
        <f>IF($G959="","",IF(AND(LEFT($O959,3)="You",ISERROR(MATCH($N959,Lge_Youth!$B:$B,0))),1,0))</f>
        <v/>
      </c>
      <c r="G959" s="3"/>
      <c r="H959" s="3"/>
      <c r="I959" s="3"/>
      <c r="J959" s="3"/>
      <c r="K959" s="6"/>
      <c r="L959" s="4"/>
      <c r="M959" s="4"/>
      <c r="N959" s="8"/>
      <c r="O959" s="8"/>
      <c r="P959" s="9"/>
      <c r="Q959" s="8"/>
      <c r="R959" s="8"/>
      <c r="S959" s="9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10"/>
    </row>
    <row r="960" spans="1:39" x14ac:dyDescent="0.2">
      <c r="A960" s="2" t="str">
        <f>IF($G960="","",IF(ISERROR(MATCH($N960,Lge_Scratch!$B:$B,0)),1,0))</f>
        <v/>
      </c>
      <c r="B960" s="2" t="str">
        <f>IF($G960="","",IF(AND(LEFT($Q960,8)="Non-aero",ISERROR(MATCH($N960,Lge_NonAero!$B:$B,0))),1,0))</f>
        <v/>
      </c>
      <c r="C960" s="5" t="str">
        <f>IF($G960="","",IF(AND(LEFT($O960,3)="Wom",ISERROR(MATCH($N960,Lge_Women!$B:$B,0))),1,0))</f>
        <v/>
      </c>
      <c r="D960" s="2" t="str">
        <f>IF($G960="","",IF(AND(OR($O960="Vet",$O960="Woman Vet"),ISERROR(MATCH($N960,Lge_Vets!$B:$B,0))),1,0))</f>
        <v/>
      </c>
      <c r="E960" s="2" t="str">
        <f>IF($G960="","",IF(AND(OR($O960="Junior",$O960="Woman Junior",$O960="Youth",$O960="Woman Youth"),ISERROR(MATCH($N960,Lge_Junior!$B:$B,0))),1,0))</f>
        <v/>
      </c>
      <c r="F960" s="2" t="str">
        <f>IF($G960="","",IF(AND(LEFT($O960,3)="You",ISERROR(MATCH($N960,Lge_Youth!$B:$B,0))),1,0))</f>
        <v/>
      </c>
      <c r="G960" s="3"/>
      <c r="H960" s="3"/>
      <c r="I960" s="3"/>
      <c r="J960" s="3"/>
      <c r="K960" s="6"/>
      <c r="L960" s="4"/>
      <c r="M960" s="4"/>
      <c r="N960" s="8"/>
      <c r="O960" s="8"/>
      <c r="P960" s="9"/>
      <c r="Q960" s="8"/>
      <c r="R960" s="8"/>
      <c r="S960" s="9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10"/>
    </row>
    <row r="961" spans="1:39" x14ac:dyDescent="0.2">
      <c r="A961" s="2" t="str">
        <f>IF($G961="","",IF(ISERROR(MATCH($N961,Lge_Scratch!$B:$B,0)),1,0))</f>
        <v/>
      </c>
      <c r="B961" s="2" t="str">
        <f>IF($G961="","",IF(AND(LEFT($Q961,8)="Non-aero",ISERROR(MATCH($N961,Lge_NonAero!$B:$B,0))),1,0))</f>
        <v/>
      </c>
      <c r="C961" s="5" t="str">
        <f>IF($G961="","",IF(AND(LEFT($O961,3)="Wom",ISERROR(MATCH($N961,Lge_Women!$B:$B,0))),1,0))</f>
        <v/>
      </c>
      <c r="D961" s="2" t="str">
        <f>IF($G961="","",IF(AND(OR($O961="Vet",$O961="Woman Vet"),ISERROR(MATCH($N961,Lge_Vets!$B:$B,0))),1,0))</f>
        <v/>
      </c>
      <c r="E961" s="2" t="str">
        <f>IF($G961="","",IF(AND(OR($O961="Junior",$O961="Woman Junior",$O961="Youth",$O961="Woman Youth"),ISERROR(MATCH($N961,Lge_Junior!$B:$B,0))),1,0))</f>
        <v/>
      </c>
      <c r="F961" s="2" t="str">
        <f>IF($G961="","",IF(AND(LEFT($O961,3)="You",ISERROR(MATCH($N961,Lge_Youth!$B:$B,0))),1,0))</f>
        <v/>
      </c>
      <c r="G961" s="3"/>
      <c r="H961" s="3"/>
      <c r="I961" s="3"/>
      <c r="J961" s="3"/>
      <c r="K961" s="6"/>
      <c r="L961" s="4"/>
      <c r="M961" s="4"/>
      <c r="N961" s="8"/>
      <c r="O961" s="8"/>
      <c r="P961" s="9"/>
      <c r="Q961" s="8"/>
      <c r="R961" s="8"/>
      <c r="S961" s="9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10"/>
    </row>
    <row r="962" spans="1:39" x14ac:dyDescent="0.2">
      <c r="A962" s="2" t="str">
        <f>IF($G962="","",IF(ISERROR(MATCH($N962,Lge_Scratch!$B:$B,0)),1,0))</f>
        <v/>
      </c>
      <c r="B962" s="2" t="str">
        <f>IF($G962="","",IF(AND(LEFT($Q962,8)="Non-aero",ISERROR(MATCH($N962,Lge_NonAero!$B:$B,0))),1,0))</f>
        <v/>
      </c>
      <c r="C962" s="5" t="str">
        <f>IF($G962="","",IF(AND(LEFT($O962,3)="Wom",ISERROR(MATCH($N962,Lge_Women!$B:$B,0))),1,0))</f>
        <v/>
      </c>
      <c r="D962" s="2" t="str">
        <f>IF($G962="","",IF(AND(OR($O962="Vet",$O962="Woman Vet"),ISERROR(MATCH($N962,Lge_Vets!$B:$B,0))),1,0))</f>
        <v/>
      </c>
      <c r="E962" s="2" t="str">
        <f>IF($G962="","",IF(AND(OR($O962="Junior",$O962="Woman Junior",$O962="Youth",$O962="Woman Youth"),ISERROR(MATCH($N962,Lge_Junior!$B:$B,0))),1,0))</f>
        <v/>
      </c>
      <c r="F962" s="2" t="str">
        <f>IF($G962="","",IF(AND(LEFT($O962,3)="You",ISERROR(MATCH($N962,Lge_Youth!$B:$B,0))),1,0))</f>
        <v/>
      </c>
      <c r="G962" s="3"/>
      <c r="H962" s="3"/>
      <c r="I962" s="3"/>
      <c r="J962" s="3"/>
      <c r="K962" s="6"/>
      <c r="L962" s="4"/>
      <c r="M962" s="4"/>
      <c r="N962" s="8"/>
      <c r="O962" s="8"/>
      <c r="P962" s="9"/>
      <c r="Q962" s="8"/>
      <c r="R962" s="8"/>
      <c r="S962" s="9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10"/>
    </row>
    <row r="963" spans="1:39" x14ac:dyDescent="0.2">
      <c r="A963" s="2" t="str">
        <f>IF($G963="","",IF(ISERROR(MATCH($N963,Lge_Scratch!$B:$B,0)),1,0))</f>
        <v/>
      </c>
      <c r="B963" s="2" t="str">
        <f>IF($G963="","",IF(AND(LEFT($Q963,8)="Non-aero",ISERROR(MATCH($N963,Lge_NonAero!$B:$B,0))),1,0))</f>
        <v/>
      </c>
      <c r="C963" s="5" t="str">
        <f>IF($G963="","",IF(AND(LEFT($O963,3)="Wom",ISERROR(MATCH($N963,Lge_Women!$B:$B,0))),1,0))</f>
        <v/>
      </c>
      <c r="D963" s="2" t="str">
        <f>IF($G963="","",IF(AND(OR($O963="Vet",$O963="Woman Vet"),ISERROR(MATCH($N963,Lge_Vets!$B:$B,0))),1,0))</f>
        <v/>
      </c>
      <c r="E963" s="2" t="str">
        <f>IF($G963="","",IF(AND(OR($O963="Junior",$O963="Woman Junior",$O963="Youth",$O963="Woman Youth"),ISERROR(MATCH($N963,Lge_Junior!$B:$B,0))),1,0))</f>
        <v/>
      </c>
      <c r="F963" s="2" t="str">
        <f>IF($G963="","",IF(AND(LEFT($O963,3)="You",ISERROR(MATCH($N963,Lge_Youth!$B:$B,0))),1,0))</f>
        <v/>
      </c>
      <c r="G963" s="3"/>
      <c r="H963" s="3"/>
      <c r="I963" s="3"/>
      <c r="J963" s="3"/>
      <c r="K963" s="6"/>
      <c r="L963" s="4"/>
      <c r="M963" s="4"/>
      <c r="N963" s="8"/>
      <c r="O963" s="8"/>
      <c r="P963" s="9"/>
      <c r="Q963" s="8"/>
      <c r="R963" s="8"/>
      <c r="S963" s="9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10"/>
    </row>
    <row r="964" spans="1:39" x14ac:dyDescent="0.2">
      <c r="A964" s="2" t="str">
        <f>IF($G964="","",IF(ISERROR(MATCH($N964,Lge_Scratch!$B:$B,0)),1,0))</f>
        <v/>
      </c>
      <c r="B964" s="2" t="str">
        <f>IF($G964="","",IF(AND(LEFT($Q964,8)="Non-aero",ISERROR(MATCH($N964,Lge_NonAero!$B:$B,0))),1,0))</f>
        <v/>
      </c>
      <c r="C964" s="5" t="str">
        <f>IF($G964="","",IF(AND(LEFT($O964,3)="Wom",ISERROR(MATCH($N964,Lge_Women!$B:$B,0))),1,0))</f>
        <v/>
      </c>
      <c r="D964" s="2" t="str">
        <f>IF($G964="","",IF(AND(OR($O964="Vet",$O964="Woman Vet"),ISERROR(MATCH($N964,Lge_Vets!$B:$B,0))),1,0))</f>
        <v/>
      </c>
      <c r="E964" s="2" t="str">
        <f>IF($G964="","",IF(AND(OR($O964="Junior",$O964="Woman Junior",$O964="Youth",$O964="Woman Youth"),ISERROR(MATCH($N964,Lge_Junior!$B:$B,0))),1,0))</f>
        <v/>
      </c>
      <c r="F964" s="2" t="str">
        <f>IF($G964="","",IF(AND(LEFT($O964,3)="You",ISERROR(MATCH($N964,Lge_Youth!$B:$B,0))),1,0))</f>
        <v/>
      </c>
      <c r="G964" s="3"/>
      <c r="H964" s="3"/>
      <c r="I964" s="3"/>
      <c r="J964" s="3"/>
      <c r="K964" s="6"/>
      <c r="L964" s="4"/>
      <c r="M964" s="4"/>
      <c r="N964" s="8"/>
      <c r="O964" s="8"/>
      <c r="P964" s="9"/>
      <c r="Q964" s="8"/>
      <c r="R964" s="8"/>
      <c r="S964" s="9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10"/>
    </row>
    <row r="965" spans="1:39" x14ac:dyDescent="0.2">
      <c r="A965" s="2" t="str">
        <f>IF($G965="","",IF(ISERROR(MATCH($N965,Lge_Scratch!$B:$B,0)),1,0))</f>
        <v/>
      </c>
      <c r="B965" s="2" t="str">
        <f>IF($G965="","",IF(AND(LEFT($Q965,8)="Non-aero",ISERROR(MATCH($N965,Lge_NonAero!$B:$B,0))),1,0))</f>
        <v/>
      </c>
      <c r="C965" s="5" t="str">
        <f>IF($G965="","",IF(AND(LEFT($O965,3)="Wom",ISERROR(MATCH($N965,Lge_Women!$B:$B,0))),1,0))</f>
        <v/>
      </c>
      <c r="D965" s="2" t="str">
        <f>IF($G965="","",IF(AND(OR($O965="Vet",$O965="Woman Vet"),ISERROR(MATCH($N965,Lge_Vets!$B:$B,0))),1,0))</f>
        <v/>
      </c>
      <c r="E965" s="2" t="str">
        <f>IF($G965="","",IF(AND(OR($O965="Junior",$O965="Woman Junior",$O965="Youth",$O965="Woman Youth"),ISERROR(MATCH($N965,Lge_Junior!$B:$B,0))),1,0))</f>
        <v/>
      </c>
      <c r="F965" s="2" t="str">
        <f>IF($G965="","",IF(AND(LEFT($O965,3)="You",ISERROR(MATCH($N965,Lge_Youth!$B:$B,0))),1,0))</f>
        <v/>
      </c>
      <c r="G965" s="3"/>
      <c r="H965" s="3"/>
      <c r="I965" s="3"/>
      <c r="J965" s="3"/>
      <c r="K965" s="6"/>
      <c r="L965" s="4"/>
      <c r="M965" s="4"/>
      <c r="N965" s="8"/>
      <c r="O965" s="8"/>
      <c r="P965" s="9"/>
      <c r="Q965" s="8"/>
      <c r="R965" s="8"/>
      <c r="S965" s="9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10"/>
    </row>
    <row r="966" spans="1:39" x14ac:dyDescent="0.2">
      <c r="A966" s="2" t="str">
        <f>IF($G966="","",IF(ISERROR(MATCH($N966,Lge_Scratch!$B:$B,0)),1,0))</f>
        <v/>
      </c>
      <c r="B966" s="2" t="str">
        <f>IF($G966="","",IF(AND(LEFT($Q966,8)="Non-aero",ISERROR(MATCH($N966,Lge_NonAero!$B:$B,0))),1,0))</f>
        <v/>
      </c>
      <c r="C966" s="5" t="str">
        <f>IF($G966="","",IF(AND(LEFT($O966,3)="Wom",ISERROR(MATCH($N966,Lge_Women!$B:$B,0))),1,0))</f>
        <v/>
      </c>
      <c r="D966" s="2" t="str">
        <f>IF($G966="","",IF(AND(OR($O966="Vet",$O966="Woman Vet"),ISERROR(MATCH($N966,Lge_Vets!$B:$B,0))),1,0))</f>
        <v/>
      </c>
      <c r="E966" s="2" t="str">
        <f>IF($G966="","",IF(AND(OR($O966="Junior",$O966="Woman Junior",$O966="Youth",$O966="Woman Youth"),ISERROR(MATCH($N966,Lge_Junior!$B:$B,0))),1,0))</f>
        <v/>
      </c>
      <c r="F966" s="2" t="str">
        <f>IF($G966="","",IF(AND(LEFT($O966,3)="You",ISERROR(MATCH($N966,Lge_Youth!$B:$B,0))),1,0))</f>
        <v/>
      </c>
      <c r="G966" s="3"/>
      <c r="H966" s="3"/>
      <c r="I966" s="3"/>
      <c r="J966" s="3"/>
      <c r="K966" s="6"/>
      <c r="L966" s="4"/>
      <c r="M966" s="4"/>
      <c r="N966" s="8"/>
      <c r="O966" s="8"/>
      <c r="P966" s="9"/>
      <c r="Q966" s="8"/>
      <c r="R966" s="8"/>
      <c r="S966" s="9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10"/>
    </row>
    <row r="967" spans="1:39" x14ac:dyDescent="0.2">
      <c r="A967" s="2" t="str">
        <f>IF($G967="","",IF(ISERROR(MATCH($N967,Lge_Scratch!$B:$B,0)),1,0))</f>
        <v/>
      </c>
      <c r="B967" s="2" t="str">
        <f>IF($G967="","",IF(AND(LEFT($Q967,8)="Non-aero",ISERROR(MATCH($N967,Lge_NonAero!$B:$B,0))),1,0))</f>
        <v/>
      </c>
      <c r="C967" s="5" t="str">
        <f>IF($G967="","",IF(AND(LEFT($O967,3)="Wom",ISERROR(MATCH($N967,Lge_Women!$B:$B,0))),1,0))</f>
        <v/>
      </c>
      <c r="D967" s="2" t="str">
        <f>IF($G967="","",IF(AND(OR($O967="Vet",$O967="Woman Vet"),ISERROR(MATCH($N967,Lge_Vets!$B:$B,0))),1,0))</f>
        <v/>
      </c>
      <c r="E967" s="2" t="str">
        <f>IF($G967="","",IF(AND(OR($O967="Junior",$O967="Woman Junior",$O967="Youth",$O967="Woman Youth"),ISERROR(MATCH($N967,Lge_Junior!$B:$B,0))),1,0))</f>
        <v/>
      </c>
      <c r="F967" s="2" t="str">
        <f>IF($G967="","",IF(AND(LEFT($O967,3)="You",ISERROR(MATCH($N967,Lge_Youth!$B:$B,0))),1,0))</f>
        <v/>
      </c>
      <c r="G967" s="3"/>
      <c r="H967" s="3"/>
      <c r="I967" s="3"/>
      <c r="J967" s="3"/>
      <c r="K967" s="6"/>
      <c r="L967" s="4"/>
      <c r="M967" s="4"/>
      <c r="N967" s="8"/>
      <c r="O967" s="8"/>
      <c r="P967" s="9"/>
      <c r="Q967" s="8"/>
      <c r="R967" s="8"/>
      <c r="S967" s="9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10"/>
    </row>
    <row r="968" spans="1:39" x14ac:dyDescent="0.2">
      <c r="A968" s="2" t="str">
        <f>IF($G968="","",IF(ISERROR(MATCH($N968,Lge_Scratch!$B:$B,0)),1,0))</f>
        <v/>
      </c>
      <c r="B968" s="2" t="str">
        <f>IF($G968="","",IF(AND(LEFT($Q968,8)="Non-aero",ISERROR(MATCH($N968,Lge_NonAero!$B:$B,0))),1,0))</f>
        <v/>
      </c>
      <c r="C968" s="5" t="str">
        <f>IF($G968="","",IF(AND(LEFT($O968,3)="Wom",ISERROR(MATCH($N968,Lge_Women!$B:$B,0))),1,0))</f>
        <v/>
      </c>
      <c r="D968" s="2" t="str">
        <f>IF($G968="","",IF(AND(OR($O968="Vet",$O968="Woman Vet"),ISERROR(MATCH($N968,Lge_Vets!$B:$B,0))),1,0))</f>
        <v/>
      </c>
      <c r="E968" s="2" t="str">
        <f>IF($G968="","",IF(AND(OR($O968="Junior",$O968="Woman Junior",$O968="Youth",$O968="Woman Youth"),ISERROR(MATCH($N968,Lge_Junior!$B:$B,0))),1,0))</f>
        <v/>
      </c>
      <c r="F968" s="2" t="str">
        <f>IF($G968="","",IF(AND(LEFT($O968,3)="You",ISERROR(MATCH($N968,Lge_Youth!$B:$B,0))),1,0))</f>
        <v/>
      </c>
      <c r="G968" s="3"/>
      <c r="H968" s="3"/>
      <c r="I968" s="3"/>
      <c r="J968" s="3"/>
      <c r="K968" s="6"/>
      <c r="L968" s="4"/>
      <c r="M968" s="4"/>
      <c r="N968" s="8"/>
      <c r="O968" s="8"/>
      <c r="P968" s="9"/>
      <c r="Q968" s="8"/>
      <c r="R968" s="8"/>
      <c r="S968" s="9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10"/>
    </row>
    <row r="969" spans="1:39" x14ac:dyDescent="0.2">
      <c r="A969" s="2" t="str">
        <f>IF($G969="","",IF(ISERROR(MATCH($N969,Lge_Scratch!$B:$B,0)),1,0))</f>
        <v/>
      </c>
      <c r="B969" s="2" t="str">
        <f>IF($G969="","",IF(AND(LEFT($Q969,8)="Non-aero",ISERROR(MATCH($N969,Lge_NonAero!$B:$B,0))),1,0))</f>
        <v/>
      </c>
      <c r="C969" s="5" t="str">
        <f>IF($G969="","",IF(AND(LEFT($O969,3)="Wom",ISERROR(MATCH($N969,Lge_Women!$B:$B,0))),1,0))</f>
        <v/>
      </c>
      <c r="D969" s="2" t="str">
        <f>IF($G969="","",IF(AND(OR($O969="Vet",$O969="Woman Vet"),ISERROR(MATCH($N969,Lge_Vets!$B:$B,0))),1,0))</f>
        <v/>
      </c>
      <c r="E969" s="2" t="str">
        <f>IF($G969="","",IF(AND(OR($O969="Junior",$O969="Woman Junior",$O969="Youth",$O969="Woman Youth"),ISERROR(MATCH($N969,Lge_Junior!$B:$B,0))),1,0))</f>
        <v/>
      </c>
      <c r="F969" s="2" t="str">
        <f>IF($G969="","",IF(AND(LEFT($O969,3)="You",ISERROR(MATCH($N969,Lge_Youth!$B:$B,0))),1,0))</f>
        <v/>
      </c>
      <c r="G969" s="3"/>
      <c r="H969" s="3"/>
      <c r="I969" s="3"/>
      <c r="J969" s="3"/>
      <c r="K969" s="6"/>
      <c r="L969" s="4"/>
      <c r="M969" s="4"/>
      <c r="N969" s="8"/>
      <c r="O969" s="8"/>
      <c r="P969" s="9"/>
      <c r="Q969" s="8"/>
      <c r="R969" s="8"/>
      <c r="S969" s="9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10"/>
    </row>
    <row r="970" spans="1:39" x14ac:dyDescent="0.2">
      <c r="A970" s="2" t="str">
        <f>IF($G970="","",IF(ISERROR(MATCH($N970,Lge_Scratch!$B:$B,0)),1,0))</f>
        <v/>
      </c>
      <c r="B970" s="2" t="str">
        <f>IF($G970="","",IF(AND(LEFT($Q970,8)="Non-aero",ISERROR(MATCH($N970,Lge_NonAero!$B:$B,0))),1,0))</f>
        <v/>
      </c>
      <c r="C970" s="5" t="str">
        <f>IF($G970="","",IF(AND(LEFT($O970,3)="Wom",ISERROR(MATCH($N970,Lge_Women!$B:$B,0))),1,0))</f>
        <v/>
      </c>
      <c r="D970" s="2" t="str">
        <f>IF($G970="","",IF(AND(OR($O970="Vet",$O970="Woman Vet"),ISERROR(MATCH($N970,Lge_Vets!$B:$B,0))),1,0))</f>
        <v/>
      </c>
      <c r="E970" s="2" t="str">
        <f>IF($G970="","",IF(AND(OR($O970="Junior",$O970="Woman Junior",$O970="Youth",$O970="Woman Youth"),ISERROR(MATCH($N970,Lge_Junior!$B:$B,0))),1,0))</f>
        <v/>
      </c>
      <c r="F970" s="2" t="str">
        <f>IF($G970="","",IF(AND(LEFT($O970,3)="You",ISERROR(MATCH($N970,Lge_Youth!$B:$B,0))),1,0))</f>
        <v/>
      </c>
      <c r="G970" s="3"/>
      <c r="H970" s="3"/>
      <c r="I970" s="3"/>
      <c r="J970" s="3"/>
      <c r="K970" s="6"/>
      <c r="L970" s="4"/>
      <c r="M970" s="4"/>
      <c r="N970" s="8"/>
      <c r="O970" s="8"/>
      <c r="P970" s="9"/>
      <c r="Q970" s="8"/>
      <c r="R970" s="8"/>
      <c r="S970" s="9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10"/>
    </row>
    <row r="971" spans="1:39" x14ac:dyDescent="0.2">
      <c r="A971" s="2" t="str">
        <f>IF($G971="","",IF(ISERROR(MATCH($N971,Lge_Scratch!$B:$B,0)),1,0))</f>
        <v/>
      </c>
      <c r="B971" s="2" t="str">
        <f>IF($G971="","",IF(AND(LEFT($Q971,8)="Non-aero",ISERROR(MATCH($N971,Lge_NonAero!$B:$B,0))),1,0))</f>
        <v/>
      </c>
      <c r="C971" s="5" t="str">
        <f>IF($G971="","",IF(AND(LEFT($O971,3)="Wom",ISERROR(MATCH($N971,Lge_Women!$B:$B,0))),1,0))</f>
        <v/>
      </c>
      <c r="D971" s="2" t="str">
        <f>IF($G971="","",IF(AND(OR($O971="Vet",$O971="Woman Vet"),ISERROR(MATCH($N971,Lge_Vets!$B:$B,0))),1,0))</f>
        <v/>
      </c>
      <c r="E971" s="2" t="str">
        <f>IF($G971="","",IF(AND(OR($O971="Junior",$O971="Woman Junior",$O971="Youth",$O971="Woman Youth"),ISERROR(MATCH($N971,Lge_Junior!$B:$B,0))),1,0))</f>
        <v/>
      </c>
      <c r="F971" s="2" t="str">
        <f>IF($G971="","",IF(AND(LEFT($O971,3)="You",ISERROR(MATCH($N971,Lge_Youth!$B:$B,0))),1,0))</f>
        <v/>
      </c>
      <c r="G971" s="3"/>
      <c r="H971" s="3"/>
      <c r="I971" s="3"/>
      <c r="J971" s="3"/>
      <c r="K971" s="6"/>
      <c r="L971" s="4"/>
      <c r="M971" s="4"/>
      <c r="N971" s="8"/>
      <c r="O971" s="8"/>
      <c r="P971" s="9"/>
      <c r="Q971" s="8"/>
      <c r="R971" s="8"/>
      <c r="S971" s="9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10"/>
    </row>
    <row r="972" spans="1:39" x14ac:dyDescent="0.2">
      <c r="A972" s="2" t="str">
        <f>IF($G972="","",IF(ISERROR(MATCH($N972,Lge_Scratch!$B:$B,0)),1,0))</f>
        <v/>
      </c>
      <c r="B972" s="2" t="str">
        <f>IF($G972="","",IF(AND(LEFT($Q972,8)="Non-aero",ISERROR(MATCH($N972,Lge_NonAero!$B:$B,0))),1,0))</f>
        <v/>
      </c>
      <c r="C972" s="5" t="str">
        <f>IF($G972="","",IF(AND(LEFT($O972,3)="Wom",ISERROR(MATCH($N972,Lge_Women!$B:$B,0))),1,0))</f>
        <v/>
      </c>
      <c r="D972" s="2" t="str">
        <f>IF($G972="","",IF(AND(OR($O972="Vet",$O972="Woman Vet"),ISERROR(MATCH($N972,Lge_Vets!$B:$B,0))),1,0))</f>
        <v/>
      </c>
      <c r="E972" s="2" t="str">
        <f>IF($G972="","",IF(AND(OR($O972="Junior",$O972="Woman Junior",$O972="Youth",$O972="Woman Youth"),ISERROR(MATCH($N972,Lge_Junior!$B:$B,0))),1,0))</f>
        <v/>
      </c>
      <c r="F972" s="2" t="str">
        <f>IF($G972="","",IF(AND(LEFT($O972,3)="You",ISERROR(MATCH($N972,Lge_Youth!$B:$B,0))),1,0))</f>
        <v/>
      </c>
      <c r="G972" s="3"/>
      <c r="H972" s="3"/>
      <c r="I972" s="3"/>
      <c r="J972" s="3"/>
      <c r="K972" s="6"/>
      <c r="L972" s="4"/>
      <c r="M972" s="4"/>
      <c r="N972" s="8"/>
      <c r="O972" s="8"/>
      <c r="P972" s="9"/>
      <c r="Q972" s="8"/>
      <c r="R972" s="8"/>
      <c r="S972" s="9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10"/>
    </row>
    <row r="973" spans="1:39" x14ac:dyDescent="0.2">
      <c r="A973" s="2" t="str">
        <f>IF($G973="","",IF(ISERROR(MATCH($N973,Lge_Scratch!$B:$B,0)),1,0))</f>
        <v/>
      </c>
      <c r="B973" s="2" t="str">
        <f>IF($G973="","",IF(AND(LEFT($Q973,8)="Non-aero",ISERROR(MATCH($N973,Lge_NonAero!$B:$B,0))),1,0))</f>
        <v/>
      </c>
      <c r="C973" s="5" t="str">
        <f>IF($G973="","",IF(AND(LEFT($O973,3)="Wom",ISERROR(MATCH($N973,Lge_Women!$B:$B,0))),1,0))</f>
        <v/>
      </c>
      <c r="D973" s="2" t="str">
        <f>IF($G973="","",IF(AND(OR($O973="Vet",$O973="Woman Vet"),ISERROR(MATCH($N973,Lge_Vets!$B:$B,0))),1,0))</f>
        <v/>
      </c>
      <c r="E973" s="2" t="str">
        <f>IF($G973="","",IF(AND(OR($O973="Junior",$O973="Woman Junior",$O973="Youth",$O973="Woman Youth"),ISERROR(MATCH($N973,Lge_Junior!$B:$B,0))),1,0))</f>
        <v/>
      </c>
      <c r="F973" s="2" t="str">
        <f>IF($G973="","",IF(AND(LEFT($O973,3)="You",ISERROR(MATCH($N973,Lge_Youth!$B:$B,0))),1,0))</f>
        <v/>
      </c>
      <c r="G973" s="3"/>
      <c r="H973" s="3"/>
      <c r="I973" s="3"/>
      <c r="J973" s="3"/>
      <c r="K973" s="6"/>
      <c r="L973" s="4"/>
      <c r="M973" s="4"/>
      <c r="N973" s="8"/>
      <c r="O973" s="8"/>
      <c r="P973" s="9"/>
      <c r="Q973" s="8"/>
      <c r="R973" s="8"/>
      <c r="S973" s="9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10"/>
    </row>
    <row r="974" spans="1:39" x14ac:dyDescent="0.2">
      <c r="A974" s="2" t="str">
        <f>IF($G974="","",IF(ISERROR(MATCH($N974,Lge_Scratch!$B:$B,0)),1,0))</f>
        <v/>
      </c>
      <c r="B974" s="2" t="str">
        <f>IF($G974="","",IF(AND(LEFT($Q974,8)="Non-aero",ISERROR(MATCH($N974,Lge_NonAero!$B:$B,0))),1,0))</f>
        <v/>
      </c>
      <c r="C974" s="5" t="str">
        <f>IF($G974="","",IF(AND(LEFT($O974,3)="Wom",ISERROR(MATCH($N974,Lge_Women!$B:$B,0))),1,0))</f>
        <v/>
      </c>
      <c r="D974" s="2" t="str">
        <f>IF($G974="","",IF(AND(OR($O974="Vet",$O974="Woman Vet"),ISERROR(MATCH($N974,Lge_Vets!$B:$B,0))),1,0))</f>
        <v/>
      </c>
      <c r="E974" s="2" t="str">
        <f>IF($G974="","",IF(AND(OR($O974="Junior",$O974="Woman Junior",$O974="Youth",$O974="Woman Youth"),ISERROR(MATCH($N974,Lge_Junior!$B:$B,0))),1,0))</f>
        <v/>
      </c>
      <c r="F974" s="2" t="str">
        <f>IF($G974="","",IF(AND(LEFT($O974,3)="You",ISERROR(MATCH($N974,Lge_Youth!$B:$B,0))),1,0))</f>
        <v/>
      </c>
      <c r="G974" s="3"/>
      <c r="H974" s="3"/>
      <c r="I974" s="3"/>
      <c r="J974" s="3"/>
      <c r="K974" s="6"/>
      <c r="L974" s="4"/>
      <c r="M974" s="4"/>
      <c r="N974" s="8"/>
      <c r="O974" s="8"/>
      <c r="P974" s="9"/>
      <c r="Q974" s="8"/>
      <c r="R974" s="8"/>
      <c r="S974" s="9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10"/>
    </row>
    <row r="975" spans="1:39" x14ac:dyDescent="0.2">
      <c r="A975" s="2" t="str">
        <f>IF($G975="","",IF(ISERROR(MATCH($N975,Lge_Scratch!$B:$B,0)),1,0))</f>
        <v/>
      </c>
      <c r="B975" s="2" t="str">
        <f>IF($G975="","",IF(AND(LEFT($Q975,8)="Non-aero",ISERROR(MATCH($N975,Lge_NonAero!$B:$B,0))),1,0))</f>
        <v/>
      </c>
      <c r="C975" s="5" t="str">
        <f>IF($G975="","",IF(AND(LEFT($O975,3)="Wom",ISERROR(MATCH($N975,Lge_Women!$B:$B,0))),1,0))</f>
        <v/>
      </c>
      <c r="D975" s="2" t="str">
        <f>IF($G975="","",IF(AND(OR($O975="Vet",$O975="Woman Vet"),ISERROR(MATCH($N975,Lge_Vets!$B:$B,0))),1,0))</f>
        <v/>
      </c>
      <c r="E975" s="2" t="str">
        <f>IF($G975="","",IF(AND(OR($O975="Junior",$O975="Woman Junior",$O975="Youth",$O975="Woman Youth"),ISERROR(MATCH($N975,Lge_Junior!$B:$B,0))),1,0))</f>
        <v/>
      </c>
      <c r="F975" s="2" t="str">
        <f>IF($G975="","",IF(AND(LEFT($O975,3)="You",ISERROR(MATCH($N975,Lge_Youth!$B:$B,0))),1,0))</f>
        <v/>
      </c>
      <c r="G975" s="3"/>
      <c r="H975" s="3"/>
      <c r="I975" s="3"/>
      <c r="J975" s="3"/>
      <c r="K975" s="6"/>
      <c r="L975" s="4"/>
      <c r="M975" s="4"/>
      <c r="N975" s="8"/>
      <c r="O975" s="8"/>
      <c r="P975" s="9"/>
      <c r="Q975" s="8"/>
      <c r="R975" s="8"/>
      <c r="S975" s="9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10"/>
    </row>
    <row r="976" spans="1:39" x14ac:dyDescent="0.2">
      <c r="A976" s="2" t="str">
        <f>IF($G976="","",IF(ISERROR(MATCH($N976,Lge_Scratch!$B:$B,0)),1,0))</f>
        <v/>
      </c>
      <c r="B976" s="2" t="str">
        <f>IF($G976="","",IF(AND(LEFT($Q976,8)="Non-aero",ISERROR(MATCH($N976,Lge_NonAero!$B:$B,0))),1,0))</f>
        <v/>
      </c>
      <c r="C976" s="5" t="str">
        <f>IF($G976="","",IF(AND(LEFT($O976,3)="Wom",ISERROR(MATCH($N976,Lge_Women!$B:$B,0))),1,0))</f>
        <v/>
      </c>
      <c r="D976" s="2" t="str">
        <f>IF($G976="","",IF(AND(OR($O976="Vet",$O976="Woman Vet"),ISERROR(MATCH($N976,Lge_Vets!$B:$B,0))),1,0))</f>
        <v/>
      </c>
      <c r="E976" s="2" t="str">
        <f>IF($G976="","",IF(AND(OR($O976="Junior",$O976="Woman Junior",$O976="Youth",$O976="Woman Youth"),ISERROR(MATCH($N976,Lge_Junior!$B:$B,0))),1,0))</f>
        <v/>
      </c>
      <c r="F976" s="2" t="str">
        <f>IF($G976="","",IF(AND(LEFT($O976,3)="You",ISERROR(MATCH($N976,Lge_Youth!$B:$B,0))),1,0))</f>
        <v/>
      </c>
      <c r="G976" s="3"/>
      <c r="H976" s="3"/>
      <c r="I976" s="3"/>
      <c r="J976" s="3"/>
      <c r="K976" s="6"/>
      <c r="L976" s="4"/>
      <c r="M976" s="4"/>
      <c r="N976" s="8"/>
      <c r="O976" s="8"/>
      <c r="P976" s="9"/>
      <c r="Q976" s="8"/>
      <c r="R976" s="8"/>
      <c r="S976" s="9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10"/>
    </row>
    <row r="977" spans="1:39" x14ac:dyDescent="0.2">
      <c r="A977" s="2" t="str">
        <f>IF($G977="","",IF(ISERROR(MATCH($N977,Lge_Scratch!$B:$B,0)),1,0))</f>
        <v/>
      </c>
      <c r="B977" s="2" t="str">
        <f>IF($G977="","",IF(AND(LEFT($Q977,8)="Non-aero",ISERROR(MATCH($N977,Lge_NonAero!$B:$B,0))),1,0))</f>
        <v/>
      </c>
      <c r="C977" s="5" t="str">
        <f>IF($G977="","",IF(AND(LEFT($O977,3)="Wom",ISERROR(MATCH($N977,Lge_Women!$B:$B,0))),1,0))</f>
        <v/>
      </c>
      <c r="D977" s="2" t="str">
        <f>IF($G977="","",IF(AND(OR($O977="Vet",$O977="Woman Vet"),ISERROR(MATCH($N977,Lge_Vets!$B:$B,0))),1,0))</f>
        <v/>
      </c>
      <c r="E977" s="2" t="str">
        <f>IF($G977="","",IF(AND(OR($O977="Junior",$O977="Woman Junior",$O977="Youth",$O977="Woman Youth"),ISERROR(MATCH($N977,Lge_Junior!$B:$B,0))),1,0))</f>
        <v/>
      </c>
      <c r="F977" s="2" t="str">
        <f>IF($G977="","",IF(AND(LEFT($O977,3)="You",ISERROR(MATCH($N977,Lge_Youth!$B:$B,0))),1,0))</f>
        <v/>
      </c>
      <c r="G977" s="3"/>
      <c r="H977" s="3"/>
      <c r="I977" s="3"/>
      <c r="J977" s="3"/>
      <c r="K977" s="6"/>
      <c r="L977" s="4"/>
      <c r="M977" s="4"/>
      <c r="N977" s="8"/>
      <c r="O977" s="8"/>
      <c r="P977" s="9"/>
      <c r="Q977" s="8"/>
      <c r="R977" s="8"/>
      <c r="S977" s="9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10"/>
    </row>
    <row r="978" spans="1:39" x14ac:dyDescent="0.2">
      <c r="A978" s="2" t="str">
        <f>IF($G978="","",IF(ISERROR(MATCH($N978,Lge_Scratch!$B:$B,0)),1,0))</f>
        <v/>
      </c>
      <c r="B978" s="2" t="str">
        <f>IF($G978="","",IF(AND(LEFT($Q978,8)="Non-aero",ISERROR(MATCH($N978,Lge_NonAero!$B:$B,0))),1,0))</f>
        <v/>
      </c>
      <c r="C978" s="5" t="str">
        <f>IF($G978="","",IF(AND(LEFT($O978,3)="Wom",ISERROR(MATCH($N978,Lge_Women!$B:$B,0))),1,0))</f>
        <v/>
      </c>
      <c r="D978" s="2" t="str">
        <f>IF($G978="","",IF(AND(OR($O978="Vet",$O978="Woman Vet"),ISERROR(MATCH($N978,Lge_Vets!$B:$B,0))),1,0))</f>
        <v/>
      </c>
      <c r="E978" s="2" t="str">
        <f>IF($G978="","",IF(AND(OR($O978="Junior",$O978="Woman Junior",$O978="Youth",$O978="Woman Youth"),ISERROR(MATCH($N978,Lge_Junior!$B:$B,0))),1,0))</f>
        <v/>
      </c>
      <c r="F978" s="2" t="str">
        <f>IF($G978="","",IF(AND(LEFT($O978,3)="You",ISERROR(MATCH($N978,Lge_Youth!$B:$B,0))),1,0))</f>
        <v/>
      </c>
      <c r="G978" s="3"/>
      <c r="H978" s="3"/>
      <c r="I978" s="3"/>
      <c r="J978" s="3"/>
      <c r="K978" s="6"/>
      <c r="L978" s="4"/>
      <c r="M978" s="4"/>
      <c r="N978" s="8"/>
      <c r="O978" s="8"/>
      <c r="P978" s="9"/>
      <c r="Q978" s="8"/>
      <c r="R978" s="8"/>
      <c r="S978" s="9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10"/>
    </row>
    <row r="979" spans="1:39" x14ac:dyDescent="0.2">
      <c r="A979" s="2" t="str">
        <f>IF($G979="","",IF(ISERROR(MATCH($N979,Lge_Scratch!$B:$B,0)),1,0))</f>
        <v/>
      </c>
      <c r="B979" s="2" t="str">
        <f>IF($G979="","",IF(AND(LEFT($Q979,8)="Non-aero",ISERROR(MATCH($N979,Lge_NonAero!$B:$B,0))),1,0))</f>
        <v/>
      </c>
      <c r="C979" s="5" t="str">
        <f>IF($G979="","",IF(AND(LEFT($O979,3)="Wom",ISERROR(MATCH($N979,Lge_Women!$B:$B,0))),1,0))</f>
        <v/>
      </c>
      <c r="D979" s="2" t="str">
        <f>IF($G979="","",IF(AND(OR($O979="Vet",$O979="Woman Vet"),ISERROR(MATCH($N979,Lge_Vets!$B:$B,0))),1,0))</f>
        <v/>
      </c>
      <c r="E979" s="2" t="str">
        <f>IF($G979="","",IF(AND(OR($O979="Junior",$O979="Woman Junior",$O979="Youth",$O979="Woman Youth"),ISERROR(MATCH($N979,Lge_Junior!$B:$B,0))),1,0))</f>
        <v/>
      </c>
      <c r="F979" s="2" t="str">
        <f>IF($G979="","",IF(AND(LEFT($O979,3)="You",ISERROR(MATCH($N979,Lge_Youth!$B:$B,0))),1,0))</f>
        <v/>
      </c>
      <c r="G979" s="3"/>
      <c r="H979" s="3"/>
      <c r="I979" s="3"/>
      <c r="J979" s="3"/>
      <c r="K979" s="6"/>
      <c r="L979" s="4"/>
      <c r="M979" s="4"/>
      <c r="N979" s="8"/>
      <c r="O979" s="8"/>
      <c r="P979" s="9"/>
      <c r="Q979" s="8"/>
      <c r="R979" s="8"/>
      <c r="S979" s="9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10"/>
    </row>
    <row r="980" spans="1:39" x14ac:dyDescent="0.2">
      <c r="A980" s="2" t="str">
        <f>IF($G980="","",IF(ISERROR(MATCH($N980,Lge_Scratch!$B:$B,0)),1,0))</f>
        <v/>
      </c>
      <c r="B980" s="2" t="str">
        <f>IF($G980="","",IF(AND(LEFT($Q980,8)="Non-aero",ISERROR(MATCH($N980,Lge_NonAero!$B:$B,0))),1,0))</f>
        <v/>
      </c>
      <c r="C980" s="5" t="str">
        <f>IF($G980="","",IF(AND(LEFT($O980,3)="Wom",ISERROR(MATCH($N980,Lge_Women!$B:$B,0))),1,0))</f>
        <v/>
      </c>
      <c r="D980" s="2" t="str">
        <f>IF($G980="","",IF(AND(OR($O980="Vet",$O980="Woman Vet"),ISERROR(MATCH($N980,Lge_Vets!$B:$B,0))),1,0))</f>
        <v/>
      </c>
      <c r="E980" s="2" t="str">
        <f>IF($G980="","",IF(AND(OR($O980="Junior",$O980="Woman Junior",$O980="Youth",$O980="Woman Youth"),ISERROR(MATCH($N980,Lge_Junior!$B:$B,0))),1,0))</f>
        <v/>
      </c>
      <c r="F980" s="2" t="str">
        <f>IF($G980="","",IF(AND(LEFT($O980,3)="You",ISERROR(MATCH($N980,Lge_Youth!$B:$B,0))),1,0))</f>
        <v/>
      </c>
      <c r="G980" s="3"/>
      <c r="H980" s="3"/>
      <c r="I980" s="3"/>
      <c r="J980" s="3"/>
      <c r="K980" s="6"/>
      <c r="L980" s="4"/>
      <c r="M980" s="4"/>
      <c r="N980" s="8"/>
      <c r="O980" s="8"/>
      <c r="P980" s="9"/>
      <c r="Q980" s="8"/>
      <c r="R980" s="8"/>
      <c r="S980" s="9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10"/>
    </row>
    <row r="981" spans="1:39" x14ac:dyDescent="0.2">
      <c r="A981" s="2" t="str">
        <f>IF($G981="","",IF(ISERROR(MATCH($N981,Lge_Scratch!$B:$B,0)),1,0))</f>
        <v/>
      </c>
      <c r="B981" s="2" t="str">
        <f>IF($G981="","",IF(AND(LEFT($Q981,8)="Non-aero",ISERROR(MATCH($N981,Lge_NonAero!$B:$B,0))),1,0))</f>
        <v/>
      </c>
      <c r="C981" s="5" t="str">
        <f>IF($G981="","",IF(AND(LEFT($O981,3)="Wom",ISERROR(MATCH($N981,Lge_Women!$B:$B,0))),1,0))</f>
        <v/>
      </c>
      <c r="D981" s="2" t="str">
        <f>IF($G981="","",IF(AND(OR($O981="Vet",$O981="Woman Vet"),ISERROR(MATCH($N981,Lge_Vets!$B:$B,0))),1,0))</f>
        <v/>
      </c>
      <c r="E981" s="2" t="str">
        <f>IF($G981="","",IF(AND(OR($O981="Junior",$O981="Woman Junior",$O981="Youth",$O981="Woman Youth"),ISERROR(MATCH($N981,Lge_Junior!$B:$B,0))),1,0))</f>
        <v/>
      </c>
      <c r="F981" s="2" t="str">
        <f>IF($G981="","",IF(AND(LEFT($O981,3)="You",ISERROR(MATCH($N981,Lge_Youth!$B:$B,0))),1,0))</f>
        <v/>
      </c>
      <c r="G981" s="3"/>
      <c r="H981" s="3"/>
      <c r="I981" s="3"/>
      <c r="J981" s="3"/>
      <c r="K981" s="6"/>
      <c r="L981" s="4"/>
      <c r="M981" s="4"/>
      <c r="N981" s="8"/>
      <c r="O981" s="8"/>
      <c r="P981" s="9"/>
      <c r="Q981" s="8"/>
      <c r="R981" s="8"/>
      <c r="S981" s="9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10"/>
    </row>
    <row r="982" spans="1:39" x14ac:dyDescent="0.2">
      <c r="A982" s="2" t="str">
        <f>IF($G982="","",IF(ISERROR(MATCH($N982,Lge_Scratch!$B:$B,0)),1,0))</f>
        <v/>
      </c>
      <c r="B982" s="2" t="str">
        <f>IF($G982="","",IF(AND(LEFT($Q982,8)="Non-aero",ISERROR(MATCH($N982,Lge_NonAero!$B:$B,0))),1,0))</f>
        <v/>
      </c>
      <c r="C982" s="5" t="str">
        <f>IF($G982="","",IF(AND(LEFT($O982,3)="Wom",ISERROR(MATCH($N982,Lge_Women!$B:$B,0))),1,0))</f>
        <v/>
      </c>
      <c r="D982" s="2" t="str">
        <f>IF($G982="","",IF(AND(OR($O982="Vet",$O982="Woman Vet"),ISERROR(MATCH($N982,Lge_Vets!$B:$B,0))),1,0))</f>
        <v/>
      </c>
      <c r="E982" s="2" t="str">
        <f>IF($G982="","",IF(AND(OR($O982="Junior",$O982="Woman Junior",$O982="Youth",$O982="Woman Youth"),ISERROR(MATCH($N982,Lge_Junior!$B:$B,0))),1,0))</f>
        <v/>
      </c>
      <c r="F982" s="2" t="str">
        <f>IF($G982="","",IF(AND(LEFT($O982,3)="You",ISERROR(MATCH($N982,Lge_Youth!$B:$B,0))),1,0))</f>
        <v/>
      </c>
      <c r="G982" s="3"/>
      <c r="H982" s="3"/>
      <c r="I982" s="3"/>
      <c r="J982" s="3"/>
      <c r="K982" s="6"/>
      <c r="L982" s="4"/>
      <c r="M982" s="4"/>
      <c r="N982" s="8"/>
      <c r="O982" s="8"/>
      <c r="P982" s="9"/>
      <c r="Q982" s="8"/>
      <c r="R982" s="8"/>
      <c r="S982" s="9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10"/>
    </row>
    <row r="983" spans="1:39" x14ac:dyDescent="0.2">
      <c r="A983" s="2" t="str">
        <f>IF($G983="","",IF(ISERROR(MATCH($N983,Lge_Scratch!$B:$B,0)),1,0))</f>
        <v/>
      </c>
      <c r="B983" s="2" t="str">
        <f>IF($G983="","",IF(AND(LEFT($Q983,8)="Non-aero",ISERROR(MATCH($N983,Lge_NonAero!$B:$B,0))),1,0))</f>
        <v/>
      </c>
      <c r="C983" s="5" t="str">
        <f>IF($G983="","",IF(AND(LEFT($O983,3)="Wom",ISERROR(MATCH($N983,Lge_Women!$B:$B,0))),1,0))</f>
        <v/>
      </c>
      <c r="D983" s="2" t="str">
        <f>IF($G983="","",IF(AND(OR($O983="Vet",$O983="Woman Vet"),ISERROR(MATCH($N983,Lge_Vets!$B:$B,0))),1,0))</f>
        <v/>
      </c>
      <c r="E983" s="2" t="str">
        <f>IF($G983="","",IF(AND(OR($O983="Junior",$O983="Woman Junior",$O983="Youth",$O983="Woman Youth"),ISERROR(MATCH($N983,Lge_Junior!$B:$B,0))),1,0))</f>
        <v/>
      </c>
      <c r="F983" s="2" t="str">
        <f>IF($G983="","",IF(AND(LEFT($O983,3)="You",ISERROR(MATCH($N983,Lge_Youth!$B:$B,0))),1,0))</f>
        <v/>
      </c>
      <c r="G983" s="3"/>
      <c r="H983" s="3"/>
      <c r="I983" s="3"/>
      <c r="J983" s="3"/>
      <c r="K983" s="6"/>
      <c r="L983" s="4"/>
      <c r="M983" s="4"/>
      <c r="N983" s="8"/>
      <c r="O983" s="8"/>
      <c r="P983" s="9"/>
      <c r="Q983" s="8"/>
      <c r="R983" s="8"/>
      <c r="S983" s="9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10"/>
    </row>
    <row r="984" spans="1:39" x14ac:dyDescent="0.2">
      <c r="A984" s="2" t="str">
        <f>IF($G984="","",IF(ISERROR(MATCH($N984,Lge_Scratch!$B:$B,0)),1,0))</f>
        <v/>
      </c>
      <c r="B984" s="2" t="str">
        <f>IF($G984="","",IF(AND(LEFT($Q984,8)="Non-aero",ISERROR(MATCH($N984,Lge_NonAero!$B:$B,0))),1,0))</f>
        <v/>
      </c>
      <c r="C984" s="5" t="str">
        <f>IF($G984="","",IF(AND(LEFT($O984,3)="Wom",ISERROR(MATCH($N984,Lge_Women!$B:$B,0))),1,0))</f>
        <v/>
      </c>
      <c r="D984" s="2" t="str">
        <f>IF($G984="","",IF(AND(OR($O984="Vet",$O984="Woman Vet"),ISERROR(MATCH($N984,Lge_Vets!$B:$B,0))),1,0))</f>
        <v/>
      </c>
      <c r="E984" s="2" t="str">
        <f>IF($G984="","",IF(AND(OR($O984="Junior",$O984="Woman Junior",$O984="Youth",$O984="Woman Youth"),ISERROR(MATCH($N984,Lge_Junior!$B:$B,0))),1,0))</f>
        <v/>
      </c>
      <c r="F984" s="2" t="str">
        <f>IF($G984="","",IF(AND(LEFT($O984,3)="You",ISERROR(MATCH($N984,Lge_Youth!$B:$B,0))),1,0))</f>
        <v/>
      </c>
      <c r="G984" s="3"/>
      <c r="H984" s="3"/>
      <c r="I984" s="3"/>
      <c r="J984" s="3"/>
      <c r="K984" s="6"/>
      <c r="L984" s="4"/>
      <c r="M984" s="4"/>
      <c r="N984" s="8"/>
      <c r="O984" s="8"/>
      <c r="P984" s="9"/>
      <c r="Q984" s="8"/>
      <c r="R984" s="8"/>
      <c r="S984" s="9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10"/>
    </row>
    <row r="985" spans="1:39" x14ac:dyDescent="0.2">
      <c r="A985" s="2" t="str">
        <f>IF($G985="","",IF(ISERROR(MATCH($N985,Lge_Scratch!$B:$B,0)),1,0))</f>
        <v/>
      </c>
      <c r="B985" s="2" t="str">
        <f>IF($G985="","",IF(AND(LEFT($Q985,8)="Non-aero",ISERROR(MATCH($N985,Lge_NonAero!$B:$B,0))),1,0))</f>
        <v/>
      </c>
      <c r="C985" s="5" t="str">
        <f>IF($G985="","",IF(AND(LEFT($O985,3)="Wom",ISERROR(MATCH($N985,Lge_Women!$B:$B,0))),1,0))</f>
        <v/>
      </c>
      <c r="D985" s="2" t="str">
        <f>IF($G985="","",IF(AND(OR($O985="Vet",$O985="Woman Vet"),ISERROR(MATCH($N985,Lge_Vets!$B:$B,0))),1,0))</f>
        <v/>
      </c>
      <c r="E985" s="2" t="str">
        <f>IF($G985="","",IF(AND(OR($O985="Junior",$O985="Woman Junior",$O985="Youth",$O985="Woman Youth"),ISERROR(MATCH($N985,Lge_Junior!$B:$B,0))),1,0))</f>
        <v/>
      </c>
      <c r="F985" s="2" t="str">
        <f>IF($G985="","",IF(AND(LEFT($O985,3)="You",ISERROR(MATCH($N985,Lge_Youth!$B:$B,0))),1,0))</f>
        <v/>
      </c>
      <c r="G985" s="3"/>
      <c r="H985" s="3"/>
      <c r="I985" s="3"/>
      <c r="J985" s="3"/>
      <c r="K985" s="6"/>
      <c r="L985" s="4"/>
      <c r="M985" s="4"/>
      <c r="N985" s="8"/>
      <c r="O985" s="8"/>
      <c r="P985" s="9"/>
      <c r="Q985" s="8"/>
      <c r="R985" s="8"/>
      <c r="S985" s="9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10"/>
    </row>
    <row r="986" spans="1:39" x14ac:dyDescent="0.2">
      <c r="A986" s="2" t="str">
        <f>IF($G986="","",IF(ISERROR(MATCH($N986,Lge_Scratch!$B:$B,0)),1,0))</f>
        <v/>
      </c>
      <c r="B986" s="2" t="str">
        <f>IF($G986="","",IF(AND(LEFT($Q986,8)="Non-aero",ISERROR(MATCH($N986,Lge_NonAero!$B:$B,0))),1,0))</f>
        <v/>
      </c>
      <c r="C986" s="5" t="str">
        <f>IF($G986="","",IF(AND(LEFT($O986,3)="Wom",ISERROR(MATCH($N986,Lge_Women!$B:$B,0))),1,0))</f>
        <v/>
      </c>
      <c r="D986" s="2" t="str">
        <f>IF($G986="","",IF(AND(OR($O986="Vet",$O986="Woman Vet"),ISERROR(MATCH($N986,Lge_Vets!$B:$B,0))),1,0))</f>
        <v/>
      </c>
      <c r="E986" s="2" t="str">
        <f>IF($G986="","",IF(AND(OR($O986="Junior",$O986="Woman Junior",$O986="Youth",$O986="Woman Youth"),ISERROR(MATCH($N986,Lge_Junior!$B:$B,0))),1,0))</f>
        <v/>
      </c>
      <c r="F986" s="2" t="str">
        <f>IF($G986="","",IF(AND(LEFT($O986,3)="You",ISERROR(MATCH($N986,Lge_Youth!$B:$B,0))),1,0))</f>
        <v/>
      </c>
      <c r="G986" s="3"/>
      <c r="H986" s="3"/>
      <c r="I986" s="3"/>
      <c r="J986" s="3"/>
      <c r="K986" s="6"/>
      <c r="L986" s="4"/>
      <c r="M986" s="4"/>
      <c r="N986" s="8"/>
      <c r="O986" s="8"/>
      <c r="P986" s="9"/>
      <c r="Q986" s="8"/>
      <c r="R986" s="8"/>
      <c r="S986" s="9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10"/>
    </row>
    <row r="987" spans="1:39" x14ac:dyDescent="0.2">
      <c r="A987" s="2" t="str">
        <f>IF($G987="","",IF(ISERROR(MATCH($N987,Lge_Scratch!$B:$B,0)),1,0))</f>
        <v/>
      </c>
      <c r="B987" s="2" t="str">
        <f>IF($G987="","",IF(AND(LEFT($Q987,8)="Non-aero",ISERROR(MATCH($N987,Lge_NonAero!$B:$B,0))),1,0))</f>
        <v/>
      </c>
      <c r="C987" s="5" t="str">
        <f>IF($G987="","",IF(AND(LEFT($O987,3)="Wom",ISERROR(MATCH($N987,Lge_Women!$B:$B,0))),1,0))</f>
        <v/>
      </c>
      <c r="D987" s="2" t="str">
        <f>IF($G987="","",IF(AND(OR($O987="Vet",$O987="Woman Vet"),ISERROR(MATCH($N987,Lge_Vets!$B:$B,0))),1,0))</f>
        <v/>
      </c>
      <c r="E987" s="2" t="str">
        <f>IF($G987="","",IF(AND(OR($O987="Junior",$O987="Woman Junior",$O987="Youth",$O987="Woman Youth"),ISERROR(MATCH($N987,Lge_Junior!$B:$B,0))),1,0))</f>
        <v/>
      </c>
      <c r="F987" s="2" t="str">
        <f>IF($G987="","",IF(AND(LEFT($O987,3)="You",ISERROR(MATCH($N987,Lge_Youth!$B:$B,0))),1,0))</f>
        <v/>
      </c>
      <c r="G987" s="3"/>
      <c r="H987" s="3"/>
      <c r="I987" s="3"/>
      <c r="J987" s="3"/>
      <c r="K987" s="6"/>
      <c r="L987" s="4"/>
      <c r="M987" s="4"/>
      <c r="N987" s="8"/>
      <c r="O987" s="8"/>
      <c r="P987" s="9"/>
      <c r="Q987" s="8"/>
      <c r="R987" s="8"/>
      <c r="S987" s="9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10"/>
    </row>
    <row r="988" spans="1:39" x14ac:dyDescent="0.2">
      <c r="A988" s="2" t="str">
        <f>IF($G988="","",IF(ISERROR(MATCH($N988,Lge_Scratch!$B:$B,0)),1,0))</f>
        <v/>
      </c>
      <c r="B988" s="2" t="str">
        <f>IF($G988="","",IF(AND(LEFT($Q988,8)="Non-aero",ISERROR(MATCH($N988,Lge_NonAero!$B:$B,0))),1,0))</f>
        <v/>
      </c>
      <c r="C988" s="5" t="str">
        <f>IF($G988="","",IF(AND(LEFT($O988,3)="Wom",ISERROR(MATCH($N988,Lge_Women!$B:$B,0))),1,0))</f>
        <v/>
      </c>
      <c r="D988" s="2" t="str">
        <f>IF($G988="","",IF(AND(OR($O988="Vet",$O988="Woman Vet"),ISERROR(MATCH($N988,Lge_Vets!$B:$B,0))),1,0))</f>
        <v/>
      </c>
      <c r="E988" s="2" t="str">
        <f>IF($G988="","",IF(AND(OR($O988="Junior",$O988="Woman Junior",$O988="Youth",$O988="Woman Youth"),ISERROR(MATCH($N988,Lge_Junior!$B:$B,0))),1,0))</f>
        <v/>
      </c>
      <c r="F988" s="2" t="str">
        <f>IF($G988="","",IF(AND(LEFT($O988,3)="You",ISERROR(MATCH($N988,Lge_Youth!$B:$B,0))),1,0))</f>
        <v/>
      </c>
      <c r="G988" s="3"/>
      <c r="H988" s="3"/>
      <c r="I988" s="3"/>
      <c r="J988" s="3"/>
      <c r="K988" s="6"/>
      <c r="L988" s="4"/>
      <c r="M988" s="4"/>
      <c r="N988" s="8"/>
      <c r="O988" s="8"/>
      <c r="P988" s="9"/>
      <c r="Q988" s="8"/>
      <c r="R988" s="8"/>
      <c r="S988" s="9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10"/>
    </row>
    <row r="989" spans="1:39" x14ac:dyDescent="0.2">
      <c r="A989" s="2" t="str">
        <f>IF($G989="","",IF(ISERROR(MATCH($N989,Lge_Scratch!$B:$B,0)),1,0))</f>
        <v/>
      </c>
      <c r="B989" s="2" t="str">
        <f>IF($G989="","",IF(AND(LEFT($Q989,8)="Non-aero",ISERROR(MATCH($N989,Lge_NonAero!$B:$B,0))),1,0))</f>
        <v/>
      </c>
      <c r="C989" s="5" t="str">
        <f>IF($G989="","",IF(AND(LEFT($O989,3)="Wom",ISERROR(MATCH($N989,Lge_Women!$B:$B,0))),1,0))</f>
        <v/>
      </c>
      <c r="D989" s="2" t="str">
        <f>IF($G989="","",IF(AND(OR($O989="Vet",$O989="Woman Vet"),ISERROR(MATCH($N989,Lge_Vets!$B:$B,0))),1,0))</f>
        <v/>
      </c>
      <c r="E989" s="2" t="str">
        <f>IF($G989="","",IF(AND(OR($O989="Junior",$O989="Woman Junior",$O989="Youth",$O989="Woman Youth"),ISERROR(MATCH($N989,Lge_Junior!$B:$B,0))),1,0))</f>
        <v/>
      </c>
      <c r="F989" s="2" t="str">
        <f>IF($G989="","",IF(AND(LEFT($O989,3)="You",ISERROR(MATCH($N989,Lge_Youth!$B:$B,0))),1,0))</f>
        <v/>
      </c>
      <c r="G989" s="3"/>
      <c r="H989" s="3"/>
      <c r="I989" s="3"/>
      <c r="J989" s="3"/>
      <c r="K989" s="6"/>
      <c r="L989" s="4"/>
      <c r="M989" s="4"/>
      <c r="N989" s="8"/>
      <c r="O989" s="8"/>
      <c r="P989" s="9"/>
      <c r="Q989" s="8"/>
      <c r="R989" s="8"/>
      <c r="S989" s="9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10"/>
    </row>
    <row r="990" spans="1:39" x14ac:dyDescent="0.2">
      <c r="A990" s="2" t="str">
        <f>IF($G990="","",IF(ISERROR(MATCH($N990,Lge_Scratch!$B:$B,0)),1,0))</f>
        <v/>
      </c>
      <c r="B990" s="2" t="str">
        <f>IF($G990="","",IF(AND(LEFT($Q990,8)="Non-aero",ISERROR(MATCH($N990,Lge_NonAero!$B:$B,0))),1,0))</f>
        <v/>
      </c>
      <c r="C990" s="5" t="str">
        <f>IF($G990="","",IF(AND(LEFT($O990,3)="Wom",ISERROR(MATCH($N990,Lge_Women!$B:$B,0))),1,0))</f>
        <v/>
      </c>
      <c r="D990" s="2" t="str">
        <f>IF($G990="","",IF(AND(OR($O990="Vet",$O990="Woman Vet"),ISERROR(MATCH($N990,Lge_Vets!$B:$B,0))),1,0))</f>
        <v/>
      </c>
      <c r="E990" s="2" t="str">
        <f>IF($G990="","",IF(AND(OR($O990="Junior",$O990="Woman Junior",$O990="Youth",$O990="Woman Youth"),ISERROR(MATCH($N990,Lge_Junior!$B:$B,0))),1,0))</f>
        <v/>
      </c>
      <c r="F990" s="2" t="str">
        <f>IF($G990="","",IF(AND(LEFT($O990,3)="You",ISERROR(MATCH($N990,Lge_Youth!$B:$B,0))),1,0))</f>
        <v/>
      </c>
      <c r="G990" s="3"/>
      <c r="H990" s="3"/>
      <c r="I990" s="3"/>
      <c r="J990" s="3"/>
      <c r="K990" s="6"/>
      <c r="L990" s="4"/>
      <c r="M990" s="4"/>
      <c r="N990" s="8"/>
      <c r="O990" s="8"/>
      <c r="P990" s="9"/>
      <c r="Q990" s="8"/>
      <c r="R990" s="8"/>
      <c r="S990" s="9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10"/>
    </row>
    <row r="991" spans="1:39" x14ac:dyDescent="0.2">
      <c r="A991" s="2" t="str">
        <f>IF($G991="","",IF(ISERROR(MATCH($N991,Lge_Scratch!$B:$B,0)),1,0))</f>
        <v/>
      </c>
      <c r="B991" s="2" t="str">
        <f>IF($G991="","",IF(AND(LEFT($Q991,8)="Non-aero",ISERROR(MATCH($N991,Lge_NonAero!$B:$B,0))),1,0))</f>
        <v/>
      </c>
      <c r="C991" s="5" t="str">
        <f>IF($G991="","",IF(AND(LEFT($O991,3)="Wom",ISERROR(MATCH($N991,Lge_Women!$B:$B,0))),1,0))</f>
        <v/>
      </c>
      <c r="D991" s="2" t="str">
        <f>IF($G991="","",IF(AND(OR($O991="Vet",$O991="Woman Vet"),ISERROR(MATCH($N991,Lge_Vets!$B:$B,0))),1,0))</f>
        <v/>
      </c>
      <c r="E991" s="2" t="str">
        <f>IF($G991="","",IF(AND(OR($O991="Junior",$O991="Woman Junior",$O991="Youth",$O991="Woman Youth"),ISERROR(MATCH($N991,Lge_Junior!$B:$B,0))),1,0))</f>
        <v/>
      </c>
      <c r="F991" s="2" t="str">
        <f>IF($G991="","",IF(AND(LEFT($O991,3)="You",ISERROR(MATCH($N991,Lge_Youth!$B:$B,0))),1,0))</f>
        <v/>
      </c>
      <c r="G991" s="3"/>
      <c r="H991" s="3"/>
      <c r="I991" s="3"/>
      <c r="J991" s="3"/>
      <c r="K991" s="6"/>
      <c r="L991" s="4"/>
      <c r="M991" s="4"/>
      <c r="N991" s="8"/>
      <c r="O991" s="8"/>
      <c r="P991" s="9"/>
      <c r="Q991" s="8"/>
      <c r="R991" s="8"/>
      <c r="S991" s="9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10"/>
    </row>
    <row r="992" spans="1:39" x14ac:dyDescent="0.2">
      <c r="A992" s="2" t="str">
        <f>IF($G992="","",IF(ISERROR(MATCH($N992,Lge_Scratch!$B:$B,0)),1,0))</f>
        <v/>
      </c>
      <c r="B992" s="2" t="str">
        <f>IF($G992="","",IF(AND(LEFT($Q992,8)="Non-aero",ISERROR(MATCH($N992,Lge_NonAero!$B:$B,0))),1,0))</f>
        <v/>
      </c>
      <c r="C992" s="5" t="str">
        <f>IF($G992="","",IF(AND(LEFT($O992,3)="Wom",ISERROR(MATCH($N992,Lge_Women!$B:$B,0))),1,0))</f>
        <v/>
      </c>
      <c r="D992" s="2" t="str">
        <f>IF($G992="","",IF(AND(OR($O992="Vet",$O992="Woman Vet"),ISERROR(MATCH($N992,Lge_Vets!$B:$B,0))),1,0))</f>
        <v/>
      </c>
      <c r="E992" s="2" t="str">
        <f>IF($G992="","",IF(AND(OR($O992="Junior",$O992="Woman Junior",$O992="Youth",$O992="Woman Youth"),ISERROR(MATCH($N992,Lge_Junior!$B:$B,0))),1,0))</f>
        <v/>
      </c>
      <c r="F992" s="2" t="str">
        <f>IF($G992="","",IF(AND(LEFT($O992,3)="You",ISERROR(MATCH($N992,Lge_Youth!$B:$B,0))),1,0))</f>
        <v/>
      </c>
      <c r="G992" s="3"/>
      <c r="H992" s="3"/>
      <c r="I992" s="3"/>
      <c r="J992" s="3"/>
      <c r="K992" s="6"/>
      <c r="L992" s="4"/>
      <c r="M992" s="4"/>
      <c r="N992" s="8"/>
      <c r="O992" s="8"/>
      <c r="P992" s="9"/>
      <c r="Q992" s="8"/>
      <c r="R992" s="8"/>
      <c r="S992" s="9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10"/>
    </row>
    <row r="993" spans="1:39" x14ac:dyDescent="0.2">
      <c r="A993" s="2" t="str">
        <f>IF($G993="","",IF(ISERROR(MATCH($N993,Lge_Scratch!$B:$B,0)),1,0))</f>
        <v/>
      </c>
      <c r="B993" s="2" t="str">
        <f>IF($G993="","",IF(AND(LEFT($Q993,8)="Non-aero",ISERROR(MATCH($N993,Lge_NonAero!$B:$B,0))),1,0))</f>
        <v/>
      </c>
      <c r="C993" s="5" t="str">
        <f>IF($G993="","",IF(AND(LEFT($O993,3)="Wom",ISERROR(MATCH($N993,Lge_Women!$B:$B,0))),1,0))</f>
        <v/>
      </c>
      <c r="D993" s="2" t="str">
        <f>IF($G993="","",IF(AND(OR($O993="Vet",$O993="Woman Vet"),ISERROR(MATCH($N993,Lge_Vets!$B:$B,0))),1,0))</f>
        <v/>
      </c>
      <c r="E993" s="2" t="str">
        <f>IF($G993="","",IF(AND(OR($O993="Junior",$O993="Woman Junior",$O993="Youth",$O993="Woman Youth"),ISERROR(MATCH($N993,Lge_Junior!$B:$B,0))),1,0))</f>
        <v/>
      </c>
      <c r="F993" s="2" t="str">
        <f>IF($G993="","",IF(AND(LEFT($O993,3)="You",ISERROR(MATCH($N993,Lge_Youth!$B:$B,0))),1,0))</f>
        <v/>
      </c>
      <c r="G993" s="3"/>
      <c r="H993" s="3"/>
      <c r="I993" s="3"/>
      <c r="J993" s="3"/>
      <c r="K993" s="6"/>
      <c r="L993" s="4"/>
      <c r="M993" s="4"/>
      <c r="N993" s="8"/>
      <c r="O993" s="8"/>
      <c r="P993" s="9"/>
      <c r="Q993" s="8"/>
      <c r="R993" s="8"/>
      <c r="S993" s="9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10"/>
    </row>
    <row r="994" spans="1:39" x14ac:dyDescent="0.2">
      <c r="A994" s="2" t="str">
        <f>IF($G994="","",IF(ISERROR(MATCH($N994,Lge_Scratch!$B:$B,0)),1,0))</f>
        <v/>
      </c>
      <c r="B994" s="2" t="str">
        <f>IF($G994="","",IF(AND(LEFT($Q994,8)="Non-aero",ISERROR(MATCH($N994,Lge_NonAero!$B:$B,0))),1,0))</f>
        <v/>
      </c>
      <c r="C994" s="5" t="str">
        <f>IF($G994="","",IF(AND(LEFT($O994,3)="Wom",ISERROR(MATCH($N994,Lge_Women!$B:$B,0))),1,0))</f>
        <v/>
      </c>
      <c r="D994" s="2" t="str">
        <f>IF($G994="","",IF(AND(OR($O994="Vet",$O994="Woman Vet"),ISERROR(MATCH($N994,Lge_Vets!$B:$B,0))),1,0))</f>
        <v/>
      </c>
      <c r="E994" s="2" t="str">
        <f>IF($G994="","",IF(AND(OR($O994="Junior",$O994="Woman Junior",$O994="Youth",$O994="Woman Youth"),ISERROR(MATCH($N994,Lge_Junior!$B:$B,0))),1,0))</f>
        <v/>
      </c>
      <c r="F994" s="2" t="str">
        <f>IF($G994="","",IF(AND(LEFT($O994,3)="You",ISERROR(MATCH($N994,Lge_Youth!$B:$B,0))),1,0))</f>
        <v/>
      </c>
      <c r="G994" s="3"/>
      <c r="H994" s="3"/>
      <c r="I994" s="3"/>
      <c r="J994" s="3"/>
      <c r="K994" s="6"/>
      <c r="L994" s="4"/>
      <c r="M994" s="4"/>
      <c r="N994" s="8"/>
      <c r="O994" s="8"/>
      <c r="P994" s="9"/>
      <c r="Q994" s="8"/>
      <c r="R994" s="8"/>
      <c r="S994" s="9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10"/>
    </row>
    <row r="995" spans="1:39" x14ac:dyDescent="0.2">
      <c r="A995" s="2" t="str">
        <f>IF($G995="","",IF(ISERROR(MATCH($N995,Lge_Scratch!$B:$B,0)),1,0))</f>
        <v/>
      </c>
      <c r="B995" s="2" t="str">
        <f>IF($G995="","",IF(AND(LEFT($Q995,8)="Non-aero",ISERROR(MATCH($N995,Lge_NonAero!$B:$B,0))),1,0))</f>
        <v/>
      </c>
      <c r="C995" s="5" t="str">
        <f>IF($G995="","",IF(AND(LEFT($O995,3)="Wom",ISERROR(MATCH($N995,Lge_Women!$B:$B,0))),1,0))</f>
        <v/>
      </c>
      <c r="D995" s="2" t="str">
        <f>IF($G995="","",IF(AND(OR($O995="Vet",$O995="Woman Vet"),ISERROR(MATCH($N995,Lge_Vets!$B:$B,0))),1,0))</f>
        <v/>
      </c>
      <c r="E995" s="2" t="str">
        <f>IF($G995="","",IF(AND(OR($O995="Junior",$O995="Woman Junior",$O995="Youth",$O995="Woman Youth"),ISERROR(MATCH($N995,Lge_Junior!$B:$B,0))),1,0))</f>
        <v/>
      </c>
      <c r="F995" s="2" t="str">
        <f>IF($G995="","",IF(AND(LEFT($O995,3)="You",ISERROR(MATCH($N995,Lge_Youth!$B:$B,0))),1,0))</f>
        <v/>
      </c>
      <c r="G995" s="3"/>
      <c r="H995" s="3"/>
      <c r="I995" s="3"/>
      <c r="J995" s="3"/>
      <c r="K995" s="6"/>
      <c r="L995" s="4"/>
      <c r="M995" s="4"/>
      <c r="N995" s="8"/>
      <c r="O995" s="8"/>
      <c r="P995" s="9"/>
      <c r="Q995" s="8"/>
      <c r="R995" s="8"/>
      <c r="S995" s="9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10"/>
    </row>
    <row r="996" spans="1:39" x14ac:dyDescent="0.2">
      <c r="A996" s="2" t="str">
        <f>IF($G996="","",IF(ISERROR(MATCH($N996,Lge_Scratch!$B:$B,0)),1,0))</f>
        <v/>
      </c>
      <c r="B996" s="2" t="str">
        <f>IF($G996="","",IF(AND(LEFT($Q996,8)="Non-aero",ISERROR(MATCH($N996,Lge_NonAero!$B:$B,0))),1,0))</f>
        <v/>
      </c>
      <c r="C996" s="5" t="str">
        <f>IF($G996="","",IF(AND(LEFT($O996,3)="Wom",ISERROR(MATCH($N996,Lge_Women!$B:$B,0))),1,0))</f>
        <v/>
      </c>
      <c r="D996" s="2" t="str">
        <f>IF($G996="","",IF(AND(OR($O996="Vet",$O996="Woman Vet"),ISERROR(MATCH($N996,Lge_Vets!$B:$B,0))),1,0))</f>
        <v/>
      </c>
      <c r="E996" s="2" t="str">
        <f>IF($G996="","",IF(AND(OR($O996="Junior",$O996="Woman Junior",$O996="Youth",$O996="Woman Youth"),ISERROR(MATCH($N996,Lge_Junior!$B:$B,0))),1,0))</f>
        <v/>
      </c>
      <c r="F996" s="2" t="str">
        <f>IF($G996="","",IF(AND(LEFT($O996,3)="You",ISERROR(MATCH($N996,Lge_Youth!$B:$B,0))),1,0))</f>
        <v/>
      </c>
      <c r="G996" s="3"/>
      <c r="H996" s="3"/>
      <c r="I996" s="3"/>
      <c r="J996" s="3"/>
      <c r="K996" s="6"/>
      <c r="L996" s="4"/>
      <c r="M996" s="4"/>
      <c r="N996" s="8"/>
      <c r="O996" s="8"/>
      <c r="P996" s="9"/>
      <c r="Q996" s="8"/>
      <c r="R996" s="8"/>
      <c r="S996" s="9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10"/>
    </row>
    <row r="997" spans="1:39" x14ac:dyDescent="0.2">
      <c r="A997" s="2" t="str">
        <f>IF($G997="","",IF(ISERROR(MATCH($N997,Lge_Scratch!$B:$B,0)),1,0))</f>
        <v/>
      </c>
      <c r="B997" s="2" t="str">
        <f>IF($G997="","",IF(AND(LEFT($Q997,8)="Non-aero",ISERROR(MATCH($N997,Lge_NonAero!$B:$B,0))),1,0))</f>
        <v/>
      </c>
      <c r="C997" s="5" t="str">
        <f>IF($G997="","",IF(AND(LEFT($O997,3)="Wom",ISERROR(MATCH($N997,Lge_Women!$B:$B,0))),1,0))</f>
        <v/>
      </c>
      <c r="D997" s="2" t="str">
        <f>IF($G997="","",IF(AND(OR($O997="Vet",$O997="Woman Vet"),ISERROR(MATCH($N997,Lge_Vets!$B:$B,0))),1,0))</f>
        <v/>
      </c>
      <c r="E997" s="2" t="str">
        <f>IF($G997="","",IF(AND(OR($O997="Junior",$O997="Woman Junior",$O997="Youth",$O997="Woman Youth"),ISERROR(MATCH($N997,Lge_Junior!$B:$B,0))),1,0))</f>
        <v/>
      </c>
      <c r="F997" s="2" t="str">
        <f>IF($G997="","",IF(AND(LEFT($O997,3)="You",ISERROR(MATCH($N997,Lge_Youth!$B:$B,0))),1,0))</f>
        <v/>
      </c>
      <c r="G997" s="3"/>
      <c r="H997" s="3"/>
      <c r="I997" s="3"/>
      <c r="J997" s="3"/>
      <c r="K997" s="6"/>
      <c r="L997" s="4"/>
      <c r="M997" s="4"/>
      <c r="N997" s="8"/>
      <c r="O997" s="8"/>
      <c r="P997" s="9"/>
      <c r="Q997" s="8"/>
      <c r="R997" s="8"/>
      <c r="S997" s="9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10"/>
    </row>
    <row r="998" spans="1:39" x14ac:dyDescent="0.2">
      <c r="A998" s="2" t="str">
        <f>IF($G998="","",IF(ISERROR(MATCH($N998,Lge_Scratch!$B:$B,0)),1,0))</f>
        <v/>
      </c>
      <c r="B998" s="2" t="str">
        <f>IF($G998="","",IF(AND(LEFT($Q998,8)="Non-aero",ISERROR(MATCH($N998,Lge_NonAero!$B:$B,0))),1,0))</f>
        <v/>
      </c>
      <c r="C998" s="5" t="str">
        <f>IF($G998="","",IF(AND(LEFT($O998,3)="Wom",ISERROR(MATCH($N998,Lge_Women!$B:$B,0))),1,0))</f>
        <v/>
      </c>
      <c r="D998" s="2" t="str">
        <f>IF($G998="","",IF(AND(OR($O998="Vet",$O998="Woman Vet"),ISERROR(MATCH($N998,Lge_Vets!$B:$B,0))),1,0))</f>
        <v/>
      </c>
      <c r="E998" s="2" t="str">
        <f>IF($G998="","",IF(AND(OR($O998="Junior",$O998="Woman Junior",$O998="Youth",$O998="Woman Youth"),ISERROR(MATCH($N998,Lge_Junior!$B:$B,0))),1,0))</f>
        <v/>
      </c>
      <c r="F998" s="2" t="str">
        <f>IF($G998="","",IF(AND(LEFT($O998,3)="You",ISERROR(MATCH($N998,Lge_Youth!$B:$B,0))),1,0))</f>
        <v/>
      </c>
      <c r="G998" s="3"/>
      <c r="H998" s="3"/>
      <c r="I998" s="3"/>
      <c r="J998" s="3"/>
      <c r="K998" s="6"/>
      <c r="L998" s="4"/>
      <c r="M998" s="4"/>
      <c r="N998" s="8"/>
      <c r="O998" s="8"/>
      <c r="P998" s="9"/>
      <c r="Q998" s="8"/>
      <c r="R998" s="8"/>
      <c r="S998" s="9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10"/>
    </row>
    <row r="999" spans="1:39" x14ac:dyDescent="0.2">
      <c r="A999" s="2" t="str">
        <f>IF($G999="","",IF(ISERROR(MATCH($N999,Lge_Scratch!$B:$B,0)),1,0))</f>
        <v/>
      </c>
      <c r="B999" s="2" t="str">
        <f>IF($G999="","",IF(AND(LEFT($Q999,8)="Non-aero",ISERROR(MATCH($N999,Lge_NonAero!$B:$B,0))),1,0))</f>
        <v/>
      </c>
      <c r="C999" s="5" t="str">
        <f>IF($G999="","",IF(AND(LEFT($O999,3)="Wom",ISERROR(MATCH($N999,Lge_Women!$B:$B,0))),1,0))</f>
        <v/>
      </c>
      <c r="D999" s="2" t="str">
        <f>IF($G999="","",IF(AND(OR($O999="Vet",$O999="Woman Vet"),ISERROR(MATCH($N999,Lge_Vets!$B:$B,0))),1,0))</f>
        <v/>
      </c>
      <c r="E999" s="2" t="str">
        <f>IF($G999="","",IF(AND(OR($O999="Junior",$O999="Woman Junior",$O999="Youth",$O999="Woman Youth"),ISERROR(MATCH($N999,Lge_Junior!$B:$B,0))),1,0))</f>
        <v/>
      </c>
      <c r="F999" s="2" t="str">
        <f>IF($G999="","",IF(AND(LEFT($O999,3)="You",ISERROR(MATCH($N999,Lge_Youth!$B:$B,0))),1,0))</f>
        <v/>
      </c>
      <c r="G999" s="3"/>
      <c r="H999" s="3"/>
      <c r="I999" s="3"/>
      <c r="J999" s="3"/>
      <c r="K999" s="6"/>
      <c r="L999" s="4"/>
      <c r="M999" s="4"/>
      <c r="N999" s="8"/>
      <c r="O999" s="8"/>
      <c r="P999" s="9"/>
      <c r="Q999" s="8"/>
      <c r="R999" s="8"/>
      <c r="S999" s="9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10"/>
    </row>
    <row r="1000" spans="1:39" x14ac:dyDescent="0.2">
      <c r="A1000" s="2" t="str">
        <f>IF($G1000="","",IF(ISERROR(MATCH($N1000,Lge_Scratch!$B:$B,0)),1,0))</f>
        <v/>
      </c>
      <c r="B1000" s="2" t="str">
        <f>IF($G1000="","",IF(AND(LEFT($Q1000,8)="Non-aero",ISERROR(MATCH($N1000,Lge_NonAero!$B:$B,0))),1,0))</f>
        <v/>
      </c>
      <c r="C1000" s="5" t="str">
        <f>IF($G1000="","",IF(AND(LEFT($O1000,3)="Wom",ISERROR(MATCH($N1000,Lge_Women!$B:$B,0))),1,0))</f>
        <v/>
      </c>
      <c r="D1000" s="2" t="str">
        <f>IF($G1000="","",IF(AND(OR($O1000="Vet",$O1000="Woman Vet"),ISERROR(MATCH($N1000,Lge_Vets!$B:$B,0))),1,0))</f>
        <v/>
      </c>
      <c r="E1000" s="2" t="str">
        <f>IF($G1000="","",IF(AND(OR($O1000="Junior",$O1000="Woman Junior",$O1000="Youth",$O1000="Woman Youth"),ISERROR(MATCH($N1000,Lge_Junior!$B:$B,0))),1,0))</f>
        <v/>
      </c>
      <c r="F1000" s="2" t="str">
        <f>IF($G1000="","",IF(AND(LEFT($O1000,3)="You",ISERROR(MATCH($N1000,Lge_Youth!$B:$B,0))),1,0))</f>
        <v/>
      </c>
      <c r="G1000" s="3"/>
      <c r="H1000" s="3"/>
      <c r="I1000" s="3"/>
      <c r="J1000" s="3"/>
      <c r="K1000" s="6"/>
      <c r="L1000" s="4"/>
      <c r="M1000" s="4"/>
      <c r="N1000" s="8"/>
      <c r="O1000" s="8"/>
      <c r="P1000" s="9"/>
      <c r="Q1000" s="8"/>
      <c r="R1000" s="8"/>
      <c r="S1000" s="9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10"/>
    </row>
  </sheetData>
  <conditionalFormatting sqref="A3:AM1000">
    <cfRule type="expression" dxfId="16" priority="1">
      <formula>SUM($A3:$F3)&gt;0</formula>
    </cfRule>
    <cfRule type="expression" dxfId="15" priority="2">
      <formula>CONCATENATE($AJ3,$AK3,$AL3,$AM3)&lt;&gt;""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27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12.5703125" customWidth="1"/>
    <col min="2" max="2" width="18.85546875" customWidth="1"/>
    <col min="3" max="3" width="8.42578125" customWidth="1"/>
    <col min="4" max="4" width="14.42578125" customWidth="1"/>
    <col min="5" max="5" width="12.28515625" customWidth="1"/>
    <col min="6" max="6" width="12" customWidth="1"/>
    <col min="7" max="7" width="11.140625" customWidth="1"/>
    <col min="8" max="8" width="11" customWidth="1"/>
    <col min="9" max="9" width="8.85546875" customWidth="1"/>
    <col min="10" max="10" width="24.42578125" customWidth="1"/>
    <col min="11" max="11" width="1.28515625" customWidth="1"/>
  </cols>
  <sheetData>
    <row r="1" spans="1:11" ht="18" x14ac:dyDescent="0.25">
      <c r="A1" s="41">
        <v>45822</v>
      </c>
      <c r="B1" s="42"/>
      <c r="C1" s="42"/>
      <c r="D1" s="42"/>
      <c r="E1" s="42"/>
      <c r="F1" s="42"/>
      <c r="G1" s="42"/>
      <c r="H1" s="42"/>
      <c r="I1" s="42"/>
      <c r="J1" s="42"/>
      <c r="K1" s="34">
        <v>7</v>
      </c>
    </row>
    <row r="2" spans="1:11" ht="18" x14ac:dyDescent="0.25">
      <c r="A2" s="43" t="s">
        <v>38</v>
      </c>
      <c r="B2" s="44"/>
      <c r="C2" s="44"/>
      <c r="D2" s="44"/>
      <c r="E2" s="44"/>
      <c r="F2" s="44"/>
      <c r="G2" s="44"/>
      <c r="H2" s="44"/>
      <c r="I2" s="44"/>
      <c r="J2" s="45"/>
    </row>
    <row r="3" spans="1:11" ht="35.25" customHeight="1" x14ac:dyDescent="0.2">
      <c r="A3" s="35" t="s">
        <v>9</v>
      </c>
      <c r="B3" s="35" t="s">
        <v>39</v>
      </c>
      <c r="C3" s="35" t="s">
        <v>40</v>
      </c>
      <c r="D3" s="35" t="s">
        <v>41</v>
      </c>
      <c r="E3" s="36" t="s">
        <v>42</v>
      </c>
      <c r="F3" s="35" t="s">
        <v>43</v>
      </c>
      <c r="G3" s="35"/>
      <c r="H3" s="35" t="s">
        <v>44</v>
      </c>
      <c r="I3" s="35" t="s">
        <v>45</v>
      </c>
      <c r="J3" s="35" t="s">
        <v>46</v>
      </c>
      <c r="K3" s="37"/>
    </row>
    <row r="4" spans="1:11" ht="12.75" x14ac:dyDescent="0.2">
      <c r="A4" s="38">
        <v>1</v>
      </c>
      <c r="B4" s="38" t="str">
        <f t="array" aca="1" ref="B4" ca="1">IFERROR(INDEX(Input!$N:$N,MATCH(CONCATENATE($A$1,"_Saturday League_",$K$1,"_",$A4),Input!$H:$H,0)),"")</f>
        <v>Danny Jago</v>
      </c>
      <c r="C4" s="38" t="str">
        <f t="shared" ref="C4:C12" ca="1" si="0">IF(B4="","","SW")</f>
        <v>SW</v>
      </c>
      <c r="D4" s="38" t="str">
        <f t="array" aca="1" ref="D4" ca="1">IFERROR(INDEX(Input!$O:$O,MATCH(CONCATENATE($A$1,"_Saturday League_",$K$1,"_",$A4),Input!$H:$H,0)),"")</f>
        <v>Vet</v>
      </c>
      <c r="E4" s="39">
        <f t="array" aca="1" ref="E4" ca="1">IFERROR(INDEX(Input!$P:$P,MATCH(CONCATENATE($A$1,"_Saturday League_",$K$1,"_",$A4),Input!$H:$H,0)),"")</f>
        <v>1.3240740740740701E-2</v>
      </c>
      <c r="F4" s="38" t="str">
        <f t="array" aca="1" ref="F4" ca="1">IFERROR(INDEX(Input!$AF:$AF,MATCH(CONCATENATE($A$1,"_Saturday League_",$K$1,"_",$A4),Input!$H:$H,0)),"")</f>
        <v/>
      </c>
      <c r="G4" s="38">
        <f t="array" aca="1" ref="G4" ca="1">IFERROR(INDEX(Input!$T:$T,MATCH(CONCATENATE($A$1,"_Saturday League_",$K$1,"_",$A4),Input!$H:$H,0)),"")</f>
        <v>0</v>
      </c>
      <c r="H4" s="39">
        <f t="array" aca="1" ref="H4" ca="1">IF(OR($D4="Vet",$D4="Woman Vet"),INDEX(Input!$V:$V,MATCH(CONCATENATE($A$1,"_Saturday League_",$K$1,"_",$A4),Input!$H:$H,0)),"")</f>
        <v>1.31273148148148E-2</v>
      </c>
      <c r="I4" s="38">
        <f t="array" aca="1" ref="I4" ca="1">IF(OR($D4="Vet",$D4="Woman Vet"),INDEX(Input!$W:$W,MATCH(CONCATENATE($A$1,"_Saturday League_",$K$1,"_",$A4),Input!$H:$H,0)),"")</f>
        <v>4</v>
      </c>
      <c r="J4" s="38" t="str">
        <f t="array" aca="1" ref="J4" ca="1">IFERROR(INDEX(Input!$Q:$Q,MATCH(CONCATENATE($A$1,"_Saturday League_",$K$1,"_",$A4),Input!$H:$H,0)),"")</f>
        <v>PB</v>
      </c>
    </row>
    <row r="5" spans="1:11" ht="12.75" x14ac:dyDescent="0.2">
      <c r="A5" s="38">
        <v>2</v>
      </c>
      <c r="B5" s="38" t="str">
        <f t="array" aca="1" ref="B5" ca="1">IFERROR(INDEX(Input!$N:$N,MATCH(CONCATENATE($A$1,"_Saturday League_",$K$1,"_",$A5),Input!$H:$H,0)),"")</f>
        <v>Isaac Phillips</v>
      </c>
      <c r="C5" s="38" t="str">
        <f t="shared" ca="1" si="0"/>
        <v>SW</v>
      </c>
      <c r="D5" s="38" t="str">
        <f t="array" aca="1" ref="D5" ca="1">IFERROR(INDEX(Input!$O:$O,MATCH(CONCATENATE($A$1,"_Saturday League_",$K$1,"_",$A5),Input!$H:$H,0)),"")</f>
        <v>Senior</v>
      </c>
      <c r="E5" s="39">
        <f t="array" aca="1" ref="E5" ca="1">IFERROR(INDEX(Input!$P:$P,MATCH(CONCATENATE($A$1,"_Saturday League_",$K$1,"_",$A5),Input!$H:$H,0)),"")</f>
        <v>1.33912037037037E-2</v>
      </c>
      <c r="F5" s="38">
        <f t="array" aca="1" ref="F5" ca="1">IFERROR(INDEX(Input!$AF:$AF,MATCH(CONCATENATE($A$1,"_Saturday League_",$K$1,"_",$A5),Input!$H:$H,0)),"")</f>
        <v>1</v>
      </c>
      <c r="G5" s="38">
        <f t="array" aca="1" ref="G5" ca="1">IFERROR(INDEX(Input!$T:$T,MATCH(CONCATENATE($A$1,"_Saturday League_",$K$1,"_",$A5),Input!$H:$H,0)),"")</f>
        <v>0</v>
      </c>
      <c r="H5" s="38" t="str">
        <f t="array" aca="1" ref="H5" ca="1">IF(OR($D5="Vet",$D5="Woman Vet"),INDEX(Input!$V:$V,MATCH(CONCATENATE($A$1,"_Saturday League_",$K$1,"_",$A5),Input!$H:$H,0)),"")</f>
        <v/>
      </c>
      <c r="I5" s="38" t="str">
        <f t="array" aca="1" ref="I5" ca="1">IF(OR($D5="Vet",$D5="Woman Vet"),INDEX(Input!$W:$W,MATCH(CONCATENATE($A$1,"_Saturday League_",$K$1,"_",$A5),Input!$H:$H,0)),"")</f>
        <v/>
      </c>
      <c r="J5" s="38" t="str">
        <f t="array" aca="1" ref="J5" ca="1">IFERROR(INDEX(Input!$Q:$Q,MATCH(CONCATENATE($A$1,"_Saturday League_",$K$1,"_",$A5),Input!$H:$H,0)),"")</f>
        <v>Non-aero PB</v>
      </c>
    </row>
    <row r="6" spans="1:11" ht="12.75" x14ac:dyDescent="0.2">
      <c r="A6" s="38">
        <v>3</v>
      </c>
      <c r="B6" s="38" t="str">
        <f t="array" aca="1" ref="B6" ca="1">IFERROR(INDEX(Input!$N:$N,MATCH(CONCATENATE($A$1,"_Saturday League_",$K$1,"_",$A6),Input!$H:$H,0)),"")</f>
        <v>Ben Pennington</v>
      </c>
      <c r="C6" s="38" t="str">
        <f t="shared" ca="1" si="0"/>
        <v>SW</v>
      </c>
      <c r="D6" s="38" t="str">
        <f t="array" aca="1" ref="D6" ca="1">IFERROR(INDEX(Input!$O:$O,MATCH(CONCATENATE($A$1,"_Saturday League_",$K$1,"_",$A6),Input!$H:$H,0)),"")</f>
        <v>Vet</v>
      </c>
      <c r="E6" s="39">
        <f t="array" aca="1" ref="E6" ca="1">IFERROR(INDEX(Input!$P:$P,MATCH(CONCATENATE($A$1,"_Saturday League_",$K$1,"_",$A6),Input!$H:$H,0)),"")</f>
        <v>1.35069444444444E-2</v>
      </c>
      <c r="F6" s="38">
        <f t="array" aca="1" ref="F6" ca="1">IFERROR(INDEX(Input!$AF:$AF,MATCH(CONCATENATE($A$1,"_Saturday League_",$K$1,"_",$A6),Input!$H:$H,0)),"")</f>
        <v>2</v>
      </c>
      <c r="G6" s="38">
        <f t="array" aca="1" ref="G6" ca="1">IFERROR(INDEX(Input!$T:$T,MATCH(CONCATENATE($A$1,"_Saturday League_",$K$1,"_",$A6),Input!$H:$H,0)),"")</f>
        <v>0</v>
      </c>
      <c r="H6" s="39">
        <f t="array" aca="1" ref="H6" ca="1">IF(OR($D6="Vet",$D6="Woman Vet"),INDEX(Input!$V:$V,MATCH(CONCATENATE($A$1,"_Saturday League_",$K$1,"_",$A6),Input!$H:$H,0)),"")</f>
        <v>1.3255787037037E-2</v>
      </c>
      <c r="I6" s="38">
        <f t="array" aca="1" ref="I6" ca="1">IF(OR($D6="Vet",$D6="Woman Vet"),INDEX(Input!$W:$W,MATCH(CONCATENATE($A$1,"_Saturday League_",$K$1,"_",$A6),Input!$H:$H,0)),"")</f>
        <v>5</v>
      </c>
      <c r="J6" s="38" t="str">
        <f t="array" aca="1" ref="J6" ca="1">IFERROR(INDEX(Input!$Q:$Q,MATCH(CONCATENATE($A$1,"_Saturday League_",$K$1,"_",$A6),Input!$H:$H,0)),"")</f>
        <v>Non-aero PB</v>
      </c>
    </row>
    <row r="7" spans="1:11" ht="12.75" x14ac:dyDescent="0.2">
      <c r="A7" s="38">
        <v>4</v>
      </c>
      <c r="B7" s="38" t="str">
        <f t="array" aca="1" ref="B7" ca="1">IFERROR(INDEX(Input!$N:$N,MATCH(CONCATENATE($A$1,"_Saturday League_",$K$1,"_",$A7),Input!$H:$H,0)),"")</f>
        <v>Paul White</v>
      </c>
      <c r="C7" s="38" t="str">
        <f t="shared" ca="1" si="0"/>
        <v>SW</v>
      </c>
      <c r="D7" s="38" t="str">
        <f t="array" aca="1" ref="D7" ca="1">IFERROR(INDEX(Input!$O:$O,MATCH(CONCATENATE($A$1,"_Saturday League_",$K$1,"_",$A7),Input!$H:$H,0)),"")</f>
        <v>Vet</v>
      </c>
      <c r="E7" s="39">
        <f t="array" aca="1" ref="E7" ca="1">IFERROR(INDEX(Input!$P:$P,MATCH(CONCATENATE($A$1,"_Saturday League_",$K$1,"_",$A7),Input!$H:$H,0)),"")</f>
        <v>1.3692129629629599E-2</v>
      </c>
      <c r="F7" s="38">
        <f t="array" aca="1" ref="F7" ca="1">IFERROR(INDEX(Input!$AF:$AF,MATCH(CONCATENATE($A$1,"_Saturday League_",$K$1,"_",$A7),Input!$H:$H,0)),"")</f>
        <v>3</v>
      </c>
      <c r="G7" s="38">
        <f t="array" aca="1" ref="G7" ca="1">IFERROR(INDEX(Input!$T:$T,MATCH(CONCATENATE($A$1,"_Saturday League_",$K$1,"_",$A7),Input!$H:$H,0)),"")</f>
        <v>0</v>
      </c>
      <c r="H7" s="39">
        <f t="array" aca="1" ref="H7" ca="1">IF(OR($D7="Vet",$D7="Woman Vet"),INDEX(Input!$V:$V,MATCH(CONCATENATE($A$1,"_Saturday League_",$K$1,"_",$A7),Input!$H:$H,0)),"")</f>
        <v>1.1925925925925901E-2</v>
      </c>
      <c r="I7" s="38">
        <f t="array" aca="1" ref="I7" ca="1">IF(OR($D7="Vet",$D7="Woman Vet"),INDEX(Input!$W:$W,MATCH(CONCATENATE($A$1,"_Saturday League_",$K$1,"_",$A7),Input!$H:$H,0)),"")</f>
        <v>1</v>
      </c>
      <c r="J7" s="38" t="str">
        <f t="array" aca="1" ref="J7" ca="1">IFERROR(INDEX(Input!$Q:$Q,MATCH(CONCATENATE($A$1,"_Saturday League_",$K$1,"_",$A7),Input!$H:$H,0)),"")</f>
        <v>Non-aero</v>
      </c>
    </row>
    <row r="8" spans="1:11" ht="12.75" x14ac:dyDescent="0.2">
      <c r="A8" s="38">
        <v>5</v>
      </c>
      <c r="B8" s="38" t="str">
        <f t="array" aca="1" ref="B8" ca="1">IFERROR(INDEX(Input!$N:$N,MATCH(CONCATENATE($A$1,"_Saturday League_",$K$1,"_",$A8),Input!$H:$H,0)),"")</f>
        <v>Andy Merchant</v>
      </c>
      <c r="C8" s="38" t="str">
        <f t="shared" ca="1" si="0"/>
        <v>SW</v>
      </c>
      <c r="D8" s="38" t="str">
        <f t="array" aca="1" ref="D8" ca="1">IFERROR(INDEX(Input!$O:$O,MATCH(CONCATENATE($A$1,"_Saturday League_",$K$1,"_",$A8),Input!$H:$H,0)),"")</f>
        <v>Vet</v>
      </c>
      <c r="E8" s="39">
        <f t="array" aca="1" ref="E8" ca="1">IFERROR(INDEX(Input!$P:$P,MATCH(CONCATENATE($A$1,"_Saturday League_",$K$1,"_",$A8),Input!$H:$H,0)),"")</f>
        <v>1.3726851851851799E-2</v>
      </c>
      <c r="F8" s="38" t="str">
        <f t="array" aca="1" ref="F8" ca="1">IFERROR(INDEX(Input!$AF:$AF,MATCH(CONCATENATE($A$1,"_Saturday League_",$K$1,"_",$A8),Input!$H:$H,0)),"")</f>
        <v/>
      </c>
      <c r="G8" s="38">
        <f t="array" aca="1" ref="G8" ca="1">IFERROR(INDEX(Input!$T:$T,MATCH(CONCATENATE($A$1,"_Saturday League_",$K$1,"_",$A8),Input!$H:$H,0)),"")</f>
        <v>0</v>
      </c>
      <c r="H8" s="39">
        <f t="array" aca="1" ref="H8" ca="1">IF(OR($D8="Vet",$D8="Woman Vet"),INDEX(Input!$V:$V,MATCH(CONCATENATE($A$1,"_Saturday League_",$K$1,"_",$A8),Input!$H:$H,0)),"")</f>
        <v>1.28842592592592E-2</v>
      </c>
      <c r="I8" s="38">
        <f t="array" aca="1" ref="I8" ca="1">IF(OR($D8="Vet",$D8="Woman Vet"),INDEX(Input!$W:$W,MATCH(CONCATENATE($A$1,"_Saturday League_",$K$1,"_",$A8),Input!$H:$H,0)),"")</f>
        <v>3</v>
      </c>
      <c r="J8" s="38" t="str">
        <f t="array" aca="1" ref="J8" ca="1">IFERROR(INDEX(Input!$Q:$Q,MATCH(CONCATENATE($A$1,"_Saturday League_",$K$1,"_",$A8),Input!$H:$H,0)),"")</f>
        <v/>
      </c>
    </row>
    <row r="9" spans="1:11" ht="12.75" x14ac:dyDescent="0.2">
      <c r="A9" s="38">
        <v>6</v>
      </c>
      <c r="B9" s="38" t="str">
        <f t="array" aca="1" ref="B9" ca="1">IFERROR(INDEX(Input!$N:$N,MATCH(CONCATENATE($A$1,"_Saturday League_",$K$1,"_",$A9),Input!$H:$H,0)),"")</f>
        <v>Adam Jones</v>
      </c>
      <c r="C9" s="38" t="str">
        <f t="shared" ca="1" si="0"/>
        <v>SW</v>
      </c>
      <c r="D9" s="38" t="str">
        <f t="array" aca="1" ref="D9" ca="1">IFERROR(INDEX(Input!$O:$O,MATCH(CONCATENATE($A$1,"_Saturday League_",$K$1,"_",$A9),Input!$H:$H,0)),"")</f>
        <v>Vet</v>
      </c>
      <c r="E9" s="39">
        <f t="array" aca="1" ref="E9" ca="1">IFERROR(INDEX(Input!$P:$P,MATCH(CONCATENATE($A$1,"_Saturday League_",$K$1,"_",$A9),Input!$H:$H,0)),"")</f>
        <v>1.3935185185185099E-2</v>
      </c>
      <c r="F9" s="38">
        <f t="array" aca="1" ref="F9" ca="1">IFERROR(INDEX(Input!$AF:$AF,MATCH(CONCATENATE($A$1,"_Saturday League_",$K$1,"_",$A9),Input!$H:$H,0)),"")</f>
        <v>4</v>
      </c>
      <c r="G9" s="38">
        <f t="array" aca="1" ref="G9" ca="1">IFERROR(INDEX(Input!$T:$T,MATCH(CONCATENATE($A$1,"_Saturday League_",$K$1,"_",$A9),Input!$H:$H,0)),"")</f>
        <v>0</v>
      </c>
      <c r="H9" s="39">
        <f t="array" aca="1" ref="H9" ca="1">IF(OR($D9="Vet",$D9="Woman Vet"),INDEX(Input!$V:$V,MATCH(CONCATENATE($A$1,"_Saturday League_",$K$1,"_",$A9),Input!$H:$H,0)),"")</f>
        <v>1.3400462962962901E-2</v>
      </c>
      <c r="I9" s="38">
        <f t="array" aca="1" ref="I9" ca="1">IF(OR($D9="Vet",$D9="Woman Vet"),INDEX(Input!$W:$W,MATCH(CONCATENATE($A$1,"_Saturday League_",$K$1,"_",$A9),Input!$H:$H,0)),"")</f>
        <v>6</v>
      </c>
      <c r="J9" s="38" t="str">
        <f t="array" aca="1" ref="J9" ca="1">IFERROR(INDEX(Input!$Q:$Q,MATCH(CONCATENATE($A$1,"_Saturday League_",$K$1,"_",$A9),Input!$H:$H,0)),"")</f>
        <v>Non-aero</v>
      </c>
    </row>
    <row r="10" spans="1:11" ht="12.75" x14ac:dyDescent="0.2">
      <c r="A10" s="38">
        <v>7</v>
      </c>
      <c r="B10" s="38" t="str">
        <f t="array" aca="1" ref="B10" ca="1">IFERROR(INDEX(Input!$N:$N,MATCH(CONCATENATE($A$1,"_Saturday League_",$K$1,"_",$A10),Input!$H:$H,0)),"")</f>
        <v>Paul Gribbon</v>
      </c>
      <c r="C10" s="38" t="str">
        <f t="shared" ca="1" si="0"/>
        <v>SW</v>
      </c>
      <c r="D10" s="38" t="str">
        <f t="array" aca="1" ref="D10" ca="1">IFERROR(INDEX(Input!$O:$O,MATCH(CONCATENATE($A$1,"_Saturday League_",$K$1,"_",$A10),Input!$H:$H,0)),"")</f>
        <v>Vet</v>
      </c>
      <c r="E10" s="39">
        <f t="array" aca="1" ref="E10" ca="1">IFERROR(INDEX(Input!$P:$P,MATCH(CONCATENATE($A$1,"_Saturday League_",$K$1,"_",$A10),Input!$H:$H,0)),"")</f>
        <v>1.51851851851851E-2</v>
      </c>
      <c r="F10" s="38">
        <f t="array" aca="1" ref="F10" ca="1">IFERROR(INDEX(Input!$AF:$AF,MATCH(CONCATENATE($A$1,"_Saturday League_",$K$1,"_",$A10),Input!$H:$H,0)),"")</f>
        <v>5</v>
      </c>
      <c r="G10" s="38">
        <f t="array" aca="1" ref="G10" ca="1">IFERROR(INDEX(Input!$T:$T,MATCH(CONCATENATE($A$1,"_Saturday League_",$K$1,"_",$A10),Input!$H:$H,0)),"")</f>
        <v>0</v>
      </c>
      <c r="H10" s="39">
        <f t="array" aca="1" ref="H10" ca="1">IF(OR($D10="Vet",$D10="Woman Vet"),INDEX(Input!$V:$V,MATCH(CONCATENATE($A$1,"_Saturday League_",$K$1,"_",$A10),Input!$H:$H,0)),"")</f>
        <v>1.47071759259259E-2</v>
      </c>
      <c r="I10" s="38">
        <f t="array" aca="1" ref="I10" ca="1">IF(OR($D10="Vet",$D10="Woman Vet"),INDEX(Input!$W:$W,MATCH(CONCATENATE($A$1,"_Saturday League_",$K$1,"_",$A10),Input!$H:$H,0)),"")</f>
        <v>7</v>
      </c>
      <c r="J10" s="38" t="str">
        <f t="array" aca="1" ref="J10" ca="1">IFERROR(INDEX(Input!$Q:$Q,MATCH(CONCATENATE($A$1,"_Saturday League_",$K$1,"_",$A10),Input!$H:$H,0)),"")</f>
        <v>Non-aero</v>
      </c>
    </row>
    <row r="11" spans="1:11" ht="12.75" x14ac:dyDescent="0.2">
      <c r="A11" s="38">
        <v>8</v>
      </c>
      <c r="B11" s="38" t="str">
        <f t="array" aca="1" ref="B11" ca="1">IFERROR(INDEX(Input!$N:$N,MATCH(CONCATENATE($A$1,"_Saturday League_",$K$1,"_",$A11),Input!$H:$H,0)),"")</f>
        <v>Simon Gretton</v>
      </c>
      <c r="C11" s="38" t="str">
        <f t="shared" ca="1" si="0"/>
        <v>SW</v>
      </c>
      <c r="D11" s="38" t="str">
        <f t="array" aca="1" ref="D11" ca="1">IFERROR(INDEX(Input!$O:$O,MATCH(CONCATENATE($A$1,"_Saturday League_",$K$1,"_",$A11),Input!$H:$H,0)),"")</f>
        <v>Vet</v>
      </c>
      <c r="E11" s="39">
        <f t="array" aca="1" ref="E11" ca="1">IFERROR(INDEX(Input!$P:$P,MATCH(CONCATENATE($A$1,"_Saturday League_",$K$1,"_",$A11),Input!$H:$H,0)),"")</f>
        <v>1.5208333333333299E-2</v>
      </c>
      <c r="F11" s="38">
        <f t="array" aca="1" ref="F11" ca="1">IFERROR(INDEX(Input!$AF:$AF,MATCH(CONCATENATE($A$1,"_Saturday League_",$K$1,"_",$A11),Input!$H:$H,0)),"")</f>
        <v>6</v>
      </c>
      <c r="G11" s="38">
        <f t="array" aca="1" ref="G11" ca="1">IFERROR(INDEX(Input!$T:$T,MATCH(CONCATENATE($A$1,"_Saturday League_",$K$1,"_",$A11),Input!$H:$H,0)),"")</f>
        <v>0</v>
      </c>
      <c r="H11" s="39">
        <f t="array" aca="1" ref="H11" ca="1">IF(OR($D11="Vet",$D11="Woman Vet"),INDEX(Input!$V:$V,MATCH(CONCATENATE($A$1,"_Saturday League_",$K$1,"_",$A11),Input!$H:$H,0)),"")</f>
        <v>1.27372685185185E-2</v>
      </c>
      <c r="I11" s="38">
        <f t="array" aca="1" ref="I11" ca="1">IF(OR($D11="Vet",$D11="Woman Vet"),INDEX(Input!$W:$W,MATCH(CONCATENATE($A$1,"_Saturday League_",$K$1,"_",$A11),Input!$H:$H,0)),"")</f>
        <v>2</v>
      </c>
      <c r="J11" s="38" t="str">
        <f t="array" aca="1" ref="J11" ca="1">IFERROR(INDEX(Input!$Q:$Q,MATCH(CONCATENATE($A$1,"_Saturday League_",$K$1,"_",$A11),Input!$H:$H,0)),"")</f>
        <v>Non-aero PB Age Record</v>
      </c>
    </row>
    <row r="12" spans="1:11" ht="12.75" x14ac:dyDescent="0.2">
      <c r="A12" s="38">
        <v>9</v>
      </c>
      <c r="B12" s="38" t="str">
        <f t="array" aca="1" ref="B12" ca="1">IFERROR(INDEX(Input!$N:$N,MATCH(CONCATENATE($A$1,"_Saturday League_",$K$1,"_",$A12),Input!$H:$H,0)),"")</f>
        <v>Elaine Cotton</v>
      </c>
      <c r="C12" s="38" t="str">
        <f t="shared" ca="1" si="0"/>
        <v>SW</v>
      </c>
      <c r="D12" s="38" t="str">
        <f t="array" aca="1" ref="D12" ca="1">IFERROR(INDEX(Input!$O:$O,MATCH(CONCATENATE($A$1,"_Saturday League_",$K$1,"_",$A12),Input!$H:$H,0)),"")</f>
        <v>Woman Vet</v>
      </c>
      <c r="E12" s="39">
        <f t="array" aca="1" ref="E12" ca="1">IFERROR(INDEX(Input!$P:$P,MATCH(CONCATENATE($A$1,"_Saturday League_",$K$1,"_",$A12),Input!$H:$H,0)),"")</f>
        <v>1.7442129629629599E-2</v>
      </c>
      <c r="F12" s="38">
        <f t="array" aca="1" ref="F12" ca="1">IFERROR(INDEX(Input!$AF:$AF,MATCH(CONCATENATE($A$1,"_Saturday League_",$K$1,"_",$A12),Input!$H:$H,0)),"")</f>
        <v>7</v>
      </c>
      <c r="G12" s="38">
        <f t="array" aca="1" ref="G12" ca="1">IFERROR(INDEX(Input!$T:$T,MATCH(CONCATENATE($A$1,"_Saturday League_",$K$1,"_",$A12),Input!$H:$H,0)),"")</f>
        <v>0</v>
      </c>
      <c r="H12" s="39">
        <f t="array" aca="1" ref="H12" ca="1">IF(OR($D12="Vet",$D12="Woman Vet"),INDEX(Input!$V:$V,MATCH(CONCATENATE($A$1,"_Saturday League_",$K$1,"_",$A12),Input!$H:$H,0)),"")</f>
        <v>1.5465277777777699E-2</v>
      </c>
      <c r="I12" s="38">
        <f t="array" aca="1" ref="I12" ca="1">IF(OR($D12="Vet",$D12="Woman Vet"),INDEX(Input!$W:$W,MATCH(CONCATENATE($A$1,"_Saturday League_",$K$1,"_",$A12),Input!$H:$H,0)),"")</f>
        <v>8</v>
      </c>
      <c r="J12" s="38" t="str">
        <f t="array" aca="1" ref="J12" ca="1">IFERROR(INDEX(Input!$Q:$Q,MATCH(CONCATENATE($A$1,"_Saturday League_",$K$1,"_",$A12),Input!$H:$H,0)),"")</f>
        <v>Non-aero</v>
      </c>
    </row>
    <row r="13" spans="1:11" ht="12.75" x14ac:dyDescent="0.2">
      <c r="A13" s="38"/>
      <c r="B13" s="38"/>
      <c r="C13" s="38"/>
      <c r="D13" s="38"/>
      <c r="E13" s="39"/>
      <c r="F13" s="38"/>
      <c r="G13" s="38"/>
      <c r="H13" s="38"/>
      <c r="I13" s="38"/>
      <c r="J13" s="38"/>
    </row>
    <row r="14" spans="1:11" ht="12.75" x14ac:dyDescent="0.2">
      <c r="A14" s="38"/>
      <c r="B14" s="38" t="s">
        <v>47</v>
      </c>
      <c r="C14" s="46" t="s">
        <v>48</v>
      </c>
      <c r="D14" s="45"/>
      <c r="E14" s="39">
        <v>1.1145833333333334E-2</v>
      </c>
      <c r="F14" s="38"/>
      <c r="G14" s="38"/>
      <c r="H14" s="38"/>
      <c r="I14" s="38"/>
      <c r="J14" s="38"/>
    </row>
    <row r="15" spans="1:11" ht="12.75" x14ac:dyDescent="0.2">
      <c r="A15" s="38"/>
      <c r="B15" s="38" t="s">
        <v>49</v>
      </c>
      <c r="C15" s="46" t="s">
        <v>50</v>
      </c>
      <c r="D15" s="45"/>
      <c r="E15" s="39">
        <v>1.2789351851851852E-2</v>
      </c>
      <c r="F15" s="38"/>
      <c r="G15" s="38"/>
      <c r="H15" s="38"/>
      <c r="I15" s="38"/>
      <c r="J15" s="38"/>
    </row>
    <row r="16" spans="1:11" ht="12.75" x14ac:dyDescent="0.2">
      <c r="A16" s="38"/>
      <c r="B16" s="38" t="s">
        <v>51</v>
      </c>
      <c r="C16" s="46" t="s">
        <v>52</v>
      </c>
      <c r="D16" s="45"/>
      <c r="E16" s="39">
        <v>1.6180555555555556E-2</v>
      </c>
      <c r="F16" s="38"/>
      <c r="G16" s="38"/>
      <c r="H16" s="38"/>
      <c r="I16" s="38"/>
      <c r="J16" s="38"/>
    </row>
    <row r="17" spans="1:10" ht="12.75" x14ac:dyDescent="0.2">
      <c r="A17" s="38"/>
      <c r="B17" s="38"/>
      <c r="C17" s="38"/>
      <c r="D17" s="38"/>
      <c r="E17" s="39"/>
      <c r="F17" s="39"/>
      <c r="G17" s="38"/>
      <c r="H17" s="38"/>
      <c r="I17" s="38"/>
      <c r="J17" s="38"/>
    </row>
    <row r="18" spans="1:10" ht="12.75" x14ac:dyDescent="0.2">
      <c r="A18" s="38"/>
      <c r="B18" s="38"/>
      <c r="C18" s="38"/>
      <c r="D18" s="38"/>
      <c r="E18" s="39"/>
      <c r="F18" s="39"/>
      <c r="G18" s="38"/>
      <c r="H18" s="38"/>
      <c r="I18" s="38"/>
      <c r="J18" s="38"/>
    </row>
    <row r="19" spans="1:10" ht="12.75" x14ac:dyDescent="0.2">
      <c r="A19" s="38"/>
      <c r="B19" s="38"/>
      <c r="C19" s="38"/>
      <c r="D19" s="38"/>
      <c r="E19" s="39"/>
      <c r="F19" s="39"/>
      <c r="G19" s="38"/>
      <c r="H19" s="38"/>
      <c r="I19" s="38"/>
      <c r="J19" s="38"/>
    </row>
    <row r="20" spans="1:10" ht="12.75" x14ac:dyDescent="0.2">
      <c r="A20" s="38"/>
      <c r="B20" s="38"/>
      <c r="C20" s="38"/>
      <c r="D20" s="38"/>
      <c r="E20" s="39"/>
      <c r="F20" s="39"/>
      <c r="G20" s="38"/>
      <c r="H20" s="38"/>
      <c r="I20" s="38"/>
      <c r="J20" s="38"/>
    </row>
    <row r="21" spans="1:10" ht="12.75" x14ac:dyDescent="0.2">
      <c r="A21" s="38"/>
      <c r="B21" s="38"/>
      <c r="C21" s="38"/>
      <c r="D21" s="38"/>
      <c r="E21" s="39"/>
      <c r="F21" s="39"/>
      <c r="G21" s="38"/>
      <c r="H21" s="38"/>
      <c r="I21" s="38"/>
      <c r="J21" s="38"/>
    </row>
    <row r="22" spans="1:10" ht="12.75" x14ac:dyDescent="0.2">
      <c r="A22" s="38"/>
      <c r="B22" s="38"/>
      <c r="C22" s="38"/>
      <c r="D22" s="38"/>
      <c r="E22" s="39"/>
      <c r="F22" s="39"/>
      <c r="G22" s="38"/>
      <c r="H22" s="38"/>
      <c r="I22" s="38"/>
      <c r="J22" s="38"/>
    </row>
    <row r="23" spans="1:10" ht="12.75" x14ac:dyDescent="0.2">
      <c r="A23" s="38"/>
      <c r="B23" s="38"/>
      <c r="C23" s="38"/>
      <c r="D23" s="38"/>
      <c r="E23" s="39"/>
      <c r="F23" s="39"/>
      <c r="G23" s="38"/>
      <c r="H23" s="38"/>
      <c r="I23" s="38"/>
      <c r="J23" s="38"/>
    </row>
    <row r="24" spans="1:10" ht="12.75" x14ac:dyDescent="0.2">
      <c r="A24" s="38"/>
      <c r="B24" s="38"/>
      <c r="C24" s="38"/>
      <c r="D24" s="38"/>
      <c r="E24" s="39"/>
      <c r="F24" s="39"/>
      <c r="G24" s="38"/>
      <c r="H24" s="38"/>
      <c r="I24" s="38"/>
      <c r="J24" s="38"/>
    </row>
    <row r="25" spans="1:10" ht="12.75" x14ac:dyDescent="0.2">
      <c r="A25" s="38"/>
      <c r="B25" s="38"/>
      <c r="C25" s="38"/>
      <c r="D25" s="38"/>
      <c r="E25" s="39"/>
      <c r="F25" s="39"/>
      <c r="G25" s="38"/>
      <c r="H25" s="38"/>
      <c r="I25" s="38"/>
      <c r="J25" s="38"/>
    </row>
    <row r="26" spans="1:10" ht="12.75" x14ac:dyDescent="0.2">
      <c r="A26" s="38"/>
      <c r="B26" s="38"/>
      <c r="C26" s="38"/>
      <c r="D26" s="38"/>
      <c r="E26" s="39"/>
      <c r="F26" s="39"/>
      <c r="G26" s="38"/>
      <c r="H26" s="38"/>
      <c r="I26" s="38"/>
      <c r="J26" s="38"/>
    </row>
    <row r="27" spans="1:10" ht="12.75" x14ac:dyDescent="0.2">
      <c r="A27" s="38"/>
      <c r="B27" s="38"/>
      <c r="C27" s="38"/>
      <c r="D27" s="38"/>
      <c r="E27" s="39"/>
      <c r="F27" s="39"/>
      <c r="G27" s="38"/>
      <c r="H27" s="38"/>
      <c r="I27" s="38"/>
      <c r="J27" s="38"/>
    </row>
  </sheetData>
  <mergeCells count="5">
    <mergeCell ref="A1:J1"/>
    <mergeCell ref="A2:J2"/>
    <mergeCell ref="C14:D14"/>
    <mergeCell ref="C15:D15"/>
    <mergeCell ref="C16:D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K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12.5703125" customWidth="1"/>
    <col min="2" max="2" width="18.85546875" customWidth="1"/>
    <col min="3" max="3" width="8.42578125" customWidth="1"/>
    <col min="4" max="4" width="14.42578125" customWidth="1"/>
    <col min="5" max="5" width="12.28515625" customWidth="1"/>
    <col min="6" max="6" width="12" customWidth="1"/>
    <col min="7" max="7" width="11.140625" customWidth="1"/>
    <col min="8" max="8" width="11" customWidth="1"/>
    <col min="9" max="9" width="8.85546875" customWidth="1"/>
    <col min="10" max="10" width="24.42578125" customWidth="1"/>
    <col min="11" max="11" width="1.28515625" customWidth="1"/>
  </cols>
  <sheetData>
    <row r="1" spans="1:11" ht="18" x14ac:dyDescent="0.25">
      <c r="A1" s="41">
        <v>45829</v>
      </c>
      <c r="B1" s="42"/>
      <c r="C1" s="42"/>
      <c r="D1" s="42"/>
      <c r="E1" s="42"/>
      <c r="F1" s="42"/>
      <c r="G1" s="42"/>
      <c r="H1" s="42"/>
      <c r="I1" s="42"/>
      <c r="J1" s="42"/>
      <c r="K1" s="34">
        <v>7</v>
      </c>
    </row>
    <row r="2" spans="1:11" ht="18" x14ac:dyDescent="0.25">
      <c r="A2" s="43" t="s">
        <v>38</v>
      </c>
      <c r="B2" s="44"/>
      <c r="C2" s="44"/>
      <c r="D2" s="44"/>
      <c r="E2" s="44"/>
      <c r="F2" s="44"/>
      <c r="G2" s="44"/>
      <c r="H2" s="44"/>
      <c r="I2" s="44"/>
      <c r="J2" s="45"/>
    </row>
    <row r="3" spans="1:11" ht="35.25" customHeight="1" x14ac:dyDescent="0.2">
      <c r="A3" s="35" t="s">
        <v>9</v>
      </c>
      <c r="B3" s="35" t="s">
        <v>39</v>
      </c>
      <c r="C3" s="35" t="s">
        <v>40</v>
      </c>
      <c r="D3" s="35" t="s">
        <v>41</v>
      </c>
      <c r="E3" s="36" t="s">
        <v>42</v>
      </c>
      <c r="F3" s="35" t="s">
        <v>43</v>
      </c>
      <c r="G3" s="35"/>
      <c r="H3" s="35" t="s">
        <v>44</v>
      </c>
      <c r="I3" s="35" t="s">
        <v>45</v>
      </c>
      <c r="J3" s="35" t="s">
        <v>46</v>
      </c>
      <c r="K3" s="37"/>
    </row>
    <row r="4" spans="1:11" ht="12.75" x14ac:dyDescent="0.2">
      <c r="A4" s="38">
        <v>1</v>
      </c>
      <c r="B4" s="38" t="str">
        <f t="array" aca="1" ref="B4" ca="1">IFERROR(INDEX(Input!$N:$N,MATCH(CONCATENATE($A$1,"_Saturday League_",$K$1,"_",$A4),Input!$H:$H,0)),"")</f>
        <v>Marc Brant</v>
      </c>
      <c r="C4" s="38" t="str">
        <f t="shared" ref="C4:C16" ca="1" si="0">IF(B4="","","SW")</f>
        <v>SW</v>
      </c>
      <c r="D4" s="38" t="str">
        <f t="array" aca="1" ref="D4" ca="1">IFERROR(INDEX(Input!$O:$O,MATCH(CONCATENATE($A$1,"_Saturday League_",$K$1,"_",$A4),Input!$H:$H,0)),"")</f>
        <v>Vet</v>
      </c>
      <c r="E4" s="39">
        <f t="array" aca="1" ref="E4" ca="1">IFERROR(INDEX(Input!$P:$P,MATCH(CONCATENATE($A$1,"_Saturday League_",$K$1,"_",$A4),Input!$H:$H,0)),"")</f>
        <v>1.1817129629629599E-2</v>
      </c>
      <c r="F4" s="38" t="str">
        <f t="array" aca="1" ref="F4" ca="1">IFERROR(INDEX(Input!$AF:$AF,MATCH(CONCATENATE($A$1,"_Saturday League_",$K$1,"_",$A4),Input!$H:$H,0)),"")</f>
        <v/>
      </c>
      <c r="G4" s="38">
        <f t="array" aca="1" ref="G4" ca="1">IFERROR(INDEX(Input!$T:$T,MATCH(CONCATENATE($A$1,"_Saturday League_",$K$1,"_",$A4),Input!$H:$H,0)),"")</f>
        <v>0</v>
      </c>
      <c r="H4" s="39">
        <f t="array" aca="1" ref="H4" ca="1">IF(OR($D4="Vet",$D4="Woman Vet"),INDEX(Input!$V:$V,MATCH(CONCATENATE($A$1,"_Saturday League_",$K$1,"_",$A4),Input!$H:$H,0)),"")</f>
        <v>1.14363425925925E-2</v>
      </c>
      <c r="I4" s="38">
        <f t="array" aca="1" ref="I4" ca="1">IF(OR($D4="Vet",$D4="Woman Vet"),INDEX(Input!$W:$W,MATCH(CONCATENATE($A$1,"_Saturday League_",$K$1,"_",$A4),Input!$H:$H,0)),"")</f>
        <v>2</v>
      </c>
      <c r="J4" s="38" t="str">
        <f t="array" aca="1" ref="J4" ca="1">IFERROR(INDEX(Input!$Q:$Q,MATCH(CONCATENATE($A$1,"_Saturday League_",$K$1,"_",$A4),Input!$H:$H,0)),"")</f>
        <v>PB</v>
      </c>
    </row>
    <row r="5" spans="1:11" ht="12.75" x14ac:dyDescent="0.2">
      <c r="A5" s="38">
        <f t="shared" ref="A5:A16" si="1">A4+1</f>
        <v>2</v>
      </c>
      <c r="B5" s="38" t="str">
        <f t="array" aca="1" ref="B5" ca="1">IFERROR(INDEX(Input!$N:$N,MATCH(CONCATENATE($A$1,"_Saturday League_",$K$1,"_",$A5),Input!$H:$H,0)),"")</f>
        <v>Philip Brant</v>
      </c>
      <c r="C5" s="38" t="str">
        <f t="shared" ca="1" si="0"/>
        <v>SW</v>
      </c>
      <c r="D5" s="38" t="str">
        <f t="array" aca="1" ref="D5" ca="1">IFERROR(INDEX(Input!$O:$O,MATCH(CONCATENATE($A$1,"_Saturday League_",$K$1,"_",$A5),Input!$H:$H,0)),"")</f>
        <v>Vet</v>
      </c>
      <c r="E5" s="39">
        <f t="array" aca="1" ref="E5" ca="1">IFERROR(INDEX(Input!$P:$P,MATCH(CONCATENATE($A$1,"_Saturday League_",$K$1,"_",$A5),Input!$H:$H,0)),"")</f>
        <v>1.24305555555555E-2</v>
      </c>
      <c r="F5" s="38" t="str">
        <f t="array" aca="1" ref="F5" ca="1">IFERROR(INDEX(Input!$AF:$AF,MATCH(CONCATENATE($A$1,"_Saturday League_",$K$1,"_",$A5),Input!$H:$H,0)),"")</f>
        <v/>
      </c>
      <c r="G5" s="38">
        <f t="array" aca="1" ref="G5" ca="1">IFERROR(INDEX(Input!$T:$T,MATCH(CONCATENATE($A$1,"_Saturday League_",$K$1,"_",$A5),Input!$H:$H,0)),"")</f>
        <v>0</v>
      </c>
      <c r="H5" s="39">
        <f t="array" aca="1" ref="H5" ca="1">IF(OR($D5="Vet",$D5="Woman Vet"),INDEX(Input!$V:$V,MATCH(CONCATENATE($A$1,"_Saturday League_",$K$1,"_",$A5),Input!$H:$H,0)),"")</f>
        <v>1.06643518518518E-2</v>
      </c>
      <c r="I5" s="38">
        <f t="array" aca="1" ref="I5" ca="1">IF(OR($D5="Vet",$D5="Woman Vet"),INDEX(Input!$W:$W,MATCH(CONCATENATE($A$1,"_Saturday League_",$K$1,"_",$A5),Input!$H:$H,0)),"")</f>
        <v>1</v>
      </c>
      <c r="J5" s="38" t="str">
        <f t="array" aca="1" ref="J5" ca="1">IFERROR(INDEX(Input!$Q:$Q,MATCH(CONCATENATE($A$1,"_Saturday League_",$K$1,"_",$A5),Input!$H:$H,0)),"")</f>
        <v>PB Age Record</v>
      </c>
    </row>
    <row r="6" spans="1:11" ht="12.75" x14ac:dyDescent="0.2">
      <c r="A6" s="38">
        <f t="shared" si="1"/>
        <v>3</v>
      </c>
      <c r="B6" s="38" t="str">
        <f t="array" aca="1" ref="B6" ca="1">IFERROR(INDEX(Input!$N:$N,MATCH(CONCATENATE($A$1,"_Saturday League_",$K$1,"_",$A6),Input!$H:$H,0)),"")</f>
        <v>Ben Pennington</v>
      </c>
      <c r="C6" s="38" t="str">
        <f t="shared" ca="1" si="0"/>
        <v>SW</v>
      </c>
      <c r="D6" s="38" t="str">
        <f t="array" aca="1" ref="D6" ca="1">IFERROR(INDEX(Input!$O:$O,MATCH(CONCATENATE($A$1,"_Saturday League_",$K$1,"_",$A6),Input!$H:$H,0)),"")</f>
        <v>Vet</v>
      </c>
      <c r="E6" s="39">
        <f t="array" aca="1" ref="E6" ca="1">IFERROR(INDEX(Input!$P:$P,MATCH(CONCATENATE($A$1,"_Saturday League_",$K$1,"_",$A6),Input!$H:$H,0)),"")</f>
        <v>1.3055555555555501E-2</v>
      </c>
      <c r="F6" s="38">
        <f t="array" aca="1" ref="F6" ca="1">IFERROR(INDEX(Input!$AF:$AF,MATCH(CONCATENATE($A$1,"_Saturday League_",$K$1,"_",$A6),Input!$H:$H,0)),"")</f>
        <v>1</v>
      </c>
      <c r="G6" s="38">
        <f t="array" aca="1" ref="G6" ca="1">IFERROR(INDEX(Input!$T:$T,MATCH(CONCATENATE($A$1,"_Saturday League_",$K$1,"_",$A6),Input!$H:$H,0)),"")</f>
        <v>0</v>
      </c>
      <c r="H6" s="39">
        <f t="array" aca="1" ref="H6" ca="1">IF(OR($D6="Vet",$D6="Woman Vet"),INDEX(Input!$V:$V,MATCH(CONCATENATE($A$1,"_Saturday League_",$K$1,"_",$A6),Input!$H:$H,0)),"")</f>
        <v>1.28043981481481E-2</v>
      </c>
      <c r="I6" s="38">
        <f t="array" aca="1" ref="I6" ca="1">IF(OR($D6="Vet",$D6="Woman Vet"),INDEX(Input!$W:$W,MATCH(CONCATENATE($A$1,"_Saturday League_",$K$1,"_",$A6),Input!$H:$H,0)),"")</f>
        <v>5</v>
      </c>
      <c r="J6" s="38" t="str">
        <f t="array" aca="1" ref="J6" ca="1">IFERROR(INDEX(Input!$Q:$Q,MATCH(CONCATENATE($A$1,"_Saturday League_",$K$1,"_",$A6),Input!$H:$H,0)),"")</f>
        <v>Non-aero PB</v>
      </c>
    </row>
    <row r="7" spans="1:11" ht="12.75" x14ac:dyDescent="0.2">
      <c r="A7" s="38">
        <f t="shared" si="1"/>
        <v>4</v>
      </c>
      <c r="B7" s="38" t="str">
        <f t="array" aca="1" ref="B7" ca="1">IFERROR(INDEX(Input!$N:$N,MATCH(CONCATENATE($A$1,"_Saturday League_",$K$1,"_",$A7),Input!$H:$H,0)),"")</f>
        <v>John-Paul Paduarno</v>
      </c>
      <c r="C7" s="38" t="str">
        <f t="shared" ca="1" si="0"/>
        <v>SW</v>
      </c>
      <c r="D7" s="38" t="str">
        <f t="array" aca="1" ref="D7" ca="1">IFERROR(INDEX(Input!$O:$O,MATCH(CONCATENATE($A$1,"_Saturday League_",$K$1,"_",$A7),Input!$H:$H,0)),"")</f>
        <v>Vet</v>
      </c>
      <c r="E7" s="39">
        <f t="array" aca="1" ref="E7" ca="1">IFERROR(INDEX(Input!$P:$P,MATCH(CONCATENATE($A$1,"_Saturday League_",$K$1,"_",$A7),Input!$H:$H,0)),"")</f>
        <v>1.3194444444444399E-2</v>
      </c>
      <c r="F7" s="38">
        <f t="array" aca="1" ref="F7" ca="1">IFERROR(INDEX(Input!$AF:$AF,MATCH(CONCATENATE($A$1,"_Saturday League_",$K$1,"_",$A7),Input!$H:$H,0)),"")</f>
        <v>2</v>
      </c>
      <c r="G7" s="38">
        <f t="array" aca="1" ref="G7" ca="1">IFERROR(INDEX(Input!$T:$T,MATCH(CONCATENATE($A$1,"_Saturday League_",$K$1,"_",$A7),Input!$H:$H,0)),"")</f>
        <v>0</v>
      </c>
      <c r="H7" s="39">
        <f t="array" aca="1" ref="H7" ca="1">IF(OR($D7="Vet",$D7="Woman Vet"),INDEX(Input!$V:$V,MATCH(CONCATENATE($A$1,"_Saturday League_",$K$1,"_",$A7),Input!$H:$H,0)),"")</f>
        <v>1.3081018518518501E-2</v>
      </c>
      <c r="I7" s="38">
        <f t="array" aca="1" ref="I7" ca="1">IF(OR($D7="Vet",$D7="Woman Vet"),INDEX(Input!$W:$W,MATCH(CONCATENATE($A$1,"_Saturday League_",$K$1,"_",$A7),Input!$H:$H,0)),"")</f>
        <v>7</v>
      </c>
      <c r="J7" s="38" t="str">
        <f t="array" aca="1" ref="J7" ca="1">IFERROR(INDEX(Input!$Q:$Q,MATCH(CONCATENATE($A$1,"_Saturday League_",$K$1,"_",$A7),Input!$H:$H,0)),"")</f>
        <v>Non-aero</v>
      </c>
    </row>
    <row r="8" spans="1:11" ht="12.75" x14ac:dyDescent="0.2">
      <c r="A8" s="38">
        <f t="shared" si="1"/>
        <v>5</v>
      </c>
      <c r="B8" s="38" t="str">
        <f t="array" aca="1" ref="B8" ca="1">IFERROR(INDEX(Input!$N:$N,MATCH(CONCATENATE($A$1,"_Saturday League_",$K$1,"_",$A8),Input!$H:$H,0)),"")</f>
        <v>Andy Merchant</v>
      </c>
      <c r="C8" s="38" t="str">
        <f t="shared" ca="1" si="0"/>
        <v>SW</v>
      </c>
      <c r="D8" s="38" t="str">
        <f t="array" aca="1" ref="D8" ca="1">IFERROR(INDEX(Input!$O:$O,MATCH(CONCATENATE($A$1,"_Saturday League_",$K$1,"_",$A8),Input!$H:$H,0)),"")</f>
        <v>Vet</v>
      </c>
      <c r="E8" s="39">
        <f t="array" aca="1" ref="E8" ca="1">IFERROR(INDEX(Input!$P:$P,MATCH(CONCATENATE($A$1,"_Saturday League_",$K$1,"_",$A8),Input!$H:$H,0)),"")</f>
        <v>1.3263888888888801E-2</v>
      </c>
      <c r="F8" s="38" t="str">
        <f t="array" aca="1" ref="F8" ca="1">IFERROR(INDEX(Input!$AF:$AF,MATCH(CONCATENATE($A$1,"_Saturday League_",$K$1,"_",$A8),Input!$H:$H,0)),"")</f>
        <v/>
      </c>
      <c r="G8" s="38">
        <f t="array" aca="1" ref="G8" ca="1">IFERROR(INDEX(Input!$T:$T,MATCH(CONCATENATE($A$1,"_Saturday League_",$K$1,"_",$A8),Input!$H:$H,0)),"")</f>
        <v>0</v>
      </c>
      <c r="H8" s="39">
        <f t="array" aca="1" ref="H8" ca="1">IF(OR($D8="Vet",$D8="Woman Vet"),INDEX(Input!$V:$V,MATCH(CONCATENATE($A$1,"_Saturday League_",$K$1,"_",$A8),Input!$H:$H,0)),"")</f>
        <v>1.2421296296296199E-2</v>
      </c>
      <c r="I8" s="38">
        <f t="array" aca="1" ref="I8" ca="1">IF(OR($D8="Vet",$D8="Woman Vet"),INDEX(Input!$W:$W,MATCH(CONCATENATE($A$1,"_Saturday League_",$K$1,"_",$A8),Input!$H:$H,0)),"")</f>
        <v>4</v>
      </c>
      <c r="J8" s="38" t="str">
        <f t="array" aca="1" ref="J8" ca="1">IFERROR(INDEX(Input!$Q:$Q,MATCH(CONCATENATE($A$1,"_Saturday League_",$K$1,"_",$A8),Input!$H:$H,0)),"")</f>
        <v>PB</v>
      </c>
    </row>
    <row r="9" spans="1:11" ht="12.75" x14ac:dyDescent="0.2">
      <c r="A9" s="38">
        <f t="shared" si="1"/>
        <v>6</v>
      </c>
      <c r="B9" s="38" t="str">
        <f t="array" aca="1" ref="B9" ca="1">IFERROR(INDEX(Input!$N:$N,MATCH(CONCATENATE($A$1,"_Saturday League_",$K$1,"_",$A9),Input!$H:$H,0)),"")</f>
        <v>Adam Jones</v>
      </c>
      <c r="C9" s="38" t="str">
        <f t="shared" ca="1" si="0"/>
        <v>SW</v>
      </c>
      <c r="D9" s="38" t="str">
        <f t="array" aca="1" ref="D9" ca="1">IFERROR(INDEX(Input!$O:$O,MATCH(CONCATENATE($A$1,"_Saturday League_",$K$1,"_",$A9),Input!$H:$H,0)),"")</f>
        <v>Vet</v>
      </c>
      <c r="E9" s="39">
        <f t="array" aca="1" ref="E9" ca="1">IFERROR(INDEX(Input!$P:$P,MATCH(CONCATENATE($A$1,"_Saturday League_",$K$1,"_",$A9),Input!$H:$H,0)),"")</f>
        <v>1.3587962962962901E-2</v>
      </c>
      <c r="F9" s="38">
        <f t="array" aca="1" ref="F9" ca="1">IFERROR(INDEX(Input!$AF:$AF,MATCH(CONCATENATE($A$1,"_Saturday League_",$K$1,"_",$A9),Input!$H:$H,0)),"")</f>
        <v>3</v>
      </c>
      <c r="G9" s="38">
        <f t="array" aca="1" ref="G9" ca="1">IFERROR(INDEX(Input!$T:$T,MATCH(CONCATENATE($A$1,"_Saturday League_",$K$1,"_",$A9),Input!$H:$H,0)),"")</f>
        <v>0</v>
      </c>
      <c r="H9" s="39">
        <f t="array" aca="1" ref="H9" ca="1">IF(OR($D9="Vet",$D9="Woman Vet"),INDEX(Input!$V:$V,MATCH(CONCATENATE($A$1,"_Saturday League_",$K$1,"_",$A9),Input!$H:$H,0)),"")</f>
        <v>1.30532407407407E-2</v>
      </c>
      <c r="I9" s="38">
        <f t="array" aca="1" ref="I9" ca="1">IF(OR($D9="Vet",$D9="Woman Vet"),INDEX(Input!$W:$W,MATCH(CONCATENATE($A$1,"_Saturday League_",$K$1,"_",$A9),Input!$H:$H,0)),"")</f>
        <v>6</v>
      </c>
      <c r="J9" s="38" t="str">
        <f t="array" aca="1" ref="J9" ca="1">IFERROR(INDEX(Input!$Q:$Q,MATCH(CONCATENATE($A$1,"_Saturday League_",$K$1,"_",$A9),Input!$H:$H,0)),"")</f>
        <v>Non-aero</v>
      </c>
    </row>
    <row r="10" spans="1:11" ht="12.75" x14ac:dyDescent="0.2">
      <c r="A10" s="38">
        <f t="shared" si="1"/>
        <v>7</v>
      </c>
      <c r="B10" s="38" t="str">
        <f t="array" aca="1" ref="B10" ca="1">IFERROR(INDEX(Input!$N:$N,MATCH(CONCATENATE($A$1,"_Saturday League_",$K$1,"_",$A10),Input!$H:$H,0)),"")</f>
        <v>Paul White</v>
      </c>
      <c r="C10" s="38" t="str">
        <f t="shared" ca="1" si="0"/>
        <v>SW</v>
      </c>
      <c r="D10" s="38" t="str">
        <f t="array" aca="1" ref="D10" ca="1">IFERROR(INDEX(Input!$O:$O,MATCH(CONCATENATE($A$1,"_Saturday League_",$K$1,"_",$A10),Input!$H:$H,0)),"")</f>
        <v>Vet</v>
      </c>
      <c r="E10" s="39">
        <f t="array" aca="1" ref="E10" ca="1">IFERROR(INDEX(Input!$P:$P,MATCH(CONCATENATE($A$1,"_Saturday League_",$K$1,"_",$A10),Input!$H:$H,0)),"")</f>
        <v>1.37847222222222E-2</v>
      </c>
      <c r="F10" s="38">
        <f t="array" aca="1" ref="F10" ca="1">IFERROR(INDEX(Input!$AF:$AF,MATCH(CONCATENATE($A$1,"_Saturday League_",$K$1,"_",$A10),Input!$H:$H,0)),"")</f>
        <v>4</v>
      </c>
      <c r="G10" s="38">
        <f t="array" aca="1" ref="G10" ca="1">IFERROR(INDEX(Input!$T:$T,MATCH(CONCATENATE($A$1,"_Saturday League_",$K$1,"_",$A10),Input!$H:$H,0)),"")</f>
        <v>0</v>
      </c>
      <c r="H10" s="39">
        <f t="array" aca="1" ref="H10" ca="1">IF(OR($D10="Vet",$D10="Woman Vet"),INDEX(Input!$V:$V,MATCH(CONCATENATE($A$1,"_Saturday League_",$K$1,"_",$A10),Input!$H:$H,0)),"")</f>
        <v>1.20185185185185E-2</v>
      </c>
      <c r="I10" s="38">
        <f t="array" aca="1" ref="I10" ca="1">IF(OR($D10="Vet",$D10="Woman Vet"),INDEX(Input!$W:$W,MATCH(CONCATENATE($A$1,"_Saturday League_",$K$1,"_",$A10),Input!$H:$H,0)),"")</f>
        <v>3</v>
      </c>
      <c r="J10" s="38" t="str">
        <f t="array" aca="1" ref="J10" ca="1">IFERROR(INDEX(Input!$Q:$Q,MATCH(CONCATENATE($A$1,"_Saturday League_",$K$1,"_",$A10),Input!$H:$H,0)),"")</f>
        <v>Non-aero</v>
      </c>
    </row>
    <row r="11" spans="1:11" ht="12.75" x14ac:dyDescent="0.2">
      <c r="A11" s="38">
        <f t="shared" si="1"/>
        <v>8</v>
      </c>
      <c r="B11" s="38" t="str">
        <f t="array" aca="1" ref="B11" ca="1">IFERROR(INDEX(Input!$N:$N,MATCH(CONCATENATE($A$1,"_Saturday League_",$K$1,"_",$A11),Input!$H:$H,0)),"")</f>
        <v>Tony Gowers</v>
      </c>
      <c r="C11" s="38" t="str">
        <f t="shared" ca="1" si="0"/>
        <v>SW</v>
      </c>
      <c r="D11" s="38" t="str">
        <f t="array" aca="1" ref="D11" ca="1">IFERROR(INDEX(Input!$O:$O,MATCH(CONCATENATE($A$1,"_Saturday League_",$K$1,"_",$A11),Input!$H:$H,0)),"")</f>
        <v>Vet</v>
      </c>
      <c r="E11" s="39">
        <f t="array" aca="1" ref="E11" ca="1">IFERROR(INDEX(Input!$P:$P,MATCH(CONCATENATE($A$1,"_Saturday League_",$K$1,"_",$A11),Input!$H:$H,0)),"")</f>
        <v>1.4918981481481399E-2</v>
      </c>
      <c r="F11" s="38">
        <f t="array" aca="1" ref="F11" ca="1">IFERROR(INDEX(Input!$AF:$AF,MATCH(CONCATENATE($A$1,"_Saturday League_",$K$1,"_",$A11),Input!$H:$H,0)),"")</f>
        <v>5</v>
      </c>
      <c r="G11" s="38">
        <f t="array" aca="1" ref="G11" ca="1">IFERROR(INDEX(Input!$T:$T,MATCH(CONCATENATE($A$1,"_Saturday League_",$K$1,"_",$A11),Input!$H:$H,0)),"")</f>
        <v>0</v>
      </c>
      <c r="H11" s="39">
        <f t="array" aca="1" ref="H11" ca="1">IF(OR($D11="Vet",$D11="Woman Vet"),INDEX(Input!$V:$V,MATCH(CONCATENATE($A$1,"_Saturday League_",$K$1,"_",$A11),Input!$H:$H,0)),"")</f>
        <v>1.35335648148148E-2</v>
      </c>
      <c r="I11" s="38">
        <f t="array" aca="1" ref="I11" ca="1">IF(OR($D11="Vet",$D11="Woman Vet"),INDEX(Input!$W:$W,MATCH(CONCATENATE($A$1,"_Saturday League_",$K$1,"_",$A11),Input!$H:$H,0)),"")</f>
        <v>8</v>
      </c>
      <c r="J11" s="38" t="str">
        <f t="array" aca="1" ref="J11" ca="1">IFERROR(INDEX(Input!$Q:$Q,MATCH(CONCATENATE($A$1,"_Saturday League_",$K$1,"_",$A11),Input!$H:$H,0)),"")</f>
        <v>Non-aero</v>
      </c>
    </row>
    <row r="12" spans="1:11" ht="12.75" x14ac:dyDescent="0.2">
      <c r="A12" s="38">
        <f t="shared" si="1"/>
        <v>9</v>
      </c>
      <c r="B12" s="38" t="str">
        <f t="array" aca="1" ref="B12" ca="1">IFERROR(INDEX(Input!$N:$N,MATCH(CONCATENATE($A$1,"_Saturday League_",$K$1,"_",$A12),Input!$H:$H,0)),"")</f>
        <v>Simon Smith</v>
      </c>
      <c r="C12" s="38" t="str">
        <f t="shared" ca="1" si="0"/>
        <v>SW</v>
      </c>
      <c r="D12" s="38" t="str">
        <f t="array" aca="1" ref="D12" ca="1">IFERROR(INDEX(Input!$O:$O,MATCH(CONCATENATE($A$1,"_Saturday League_",$K$1,"_",$A12),Input!$H:$H,0)),"")</f>
        <v>Vet</v>
      </c>
      <c r="E12" s="39">
        <f t="array" aca="1" ref="E12" ca="1">IFERROR(INDEX(Input!$P:$P,MATCH(CONCATENATE($A$1,"_Saturday League_",$K$1,"_",$A12),Input!$H:$H,0)),"")</f>
        <v>1.51736111111111E-2</v>
      </c>
      <c r="F12" s="38">
        <f t="array" aca="1" ref="F12" ca="1">IFERROR(INDEX(Input!$AF:$AF,MATCH(CONCATENATE($A$1,"_Saturday League_",$K$1,"_",$A12),Input!$H:$H,0)),"")</f>
        <v>6</v>
      </c>
      <c r="G12" s="38">
        <f t="array" aca="1" ref="G12" ca="1">IFERROR(INDEX(Input!$T:$T,MATCH(CONCATENATE($A$1,"_Saturday League_",$K$1,"_",$A12),Input!$H:$H,0)),"")</f>
        <v>0</v>
      </c>
      <c r="H12" s="39">
        <f t="array" aca="1" ref="H12" ca="1">IF(OR($D12="Vet",$D12="Woman Vet"),INDEX(Input!$V:$V,MATCH(CONCATENATE($A$1,"_Saturday League_",$K$1,"_",$A12),Input!$H:$H,0)),"")</f>
        <v>1.4039351851851799E-2</v>
      </c>
      <c r="I12" s="38">
        <f t="array" aca="1" ref="I12" ca="1">IF(OR($D12="Vet",$D12="Woman Vet"),INDEX(Input!$W:$W,MATCH(CONCATENATE($A$1,"_Saturday League_",$K$1,"_",$A12),Input!$H:$H,0)),"")</f>
        <v>9</v>
      </c>
      <c r="J12" s="38" t="str">
        <f t="array" aca="1" ref="J12" ca="1">IFERROR(INDEX(Input!$Q:$Q,MATCH(CONCATENATE($A$1,"_Saturday League_",$K$1,"_",$A12),Input!$H:$H,0)),"")</f>
        <v>Non-aero</v>
      </c>
    </row>
    <row r="13" spans="1:11" ht="12.75" x14ac:dyDescent="0.2">
      <c r="A13" s="38">
        <f t="shared" si="1"/>
        <v>10</v>
      </c>
      <c r="B13" s="38" t="str">
        <f t="array" aca="1" ref="B13" ca="1">IFERROR(INDEX(Input!$N:$N,MATCH(CONCATENATE($A$1,"_Saturday League_",$K$1,"_",$A13),Input!$H:$H,0)),"")</f>
        <v>Chris Smith</v>
      </c>
      <c r="C13" s="38" t="str">
        <f t="shared" ca="1" si="0"/>
        <v>SW</v>
      </c>
      <c r="D13" s="38" t="str">
        <f t="array" aca="1" ref="D13" ca="1">IFERROR(INDEX(Input!$O:$O,MATCH(CONCATENATE($A$1,"_Saturday League_",$K$1,"_",$A13),Input!$H:$H,0)),"")</f>
        <v>Vet</v>
      </c>
      <c r="E13" s="39">
        <f t="array" aca="1" ref="E13" ca="1">IFERROR(INDEX(Input!$P:$P,MATCH(CONCATENATE($A$1,"_Saturday League_",$K$1,"_",$A13),Input!$H:$H,0)),"")</f>
        <v>1.5671296296296201E-2</v>
      </c>
      <c r="F13" s="38">
        <f t="array" aca="1" ref="F13" ca="1">IFERROR(INDEX(Input!$AF:$AF,MATCH(CONCATENATE($A$1,"_Saturday League_",$K$1,"_",$A13),Input!$H:$H,0)),"")</f>
        <v>7</v>
      </c>
      <c r="G13" s="38">
        <f t="array" aca="1" ref="G13" ca="1">IFERROR(INDEX(Input!$T:$T,MATCH(CONCATENATE($A$1,"_Saturday League_",$K$1,"_",$A13),Input!$H:$H,0)),"")</f>
        <v>0</v>
      </c>
      <c r="H13" s="39">
        <f t="array" aca="1" ref="H13" ca="1">IF(OR($D13="Vet",$D13="Woman Vet"),INDEX(Input!$V:$V,MATCH(CONCATENATE($A$1,"_Saturday League_",$K$1,"_",$A13),Input!$H:$H,0)),"")</f>
        <v>1.4690972222222201E-2</v>
      </c>
      <c r="I13" s="38">
        <f t="array" aca="1" ref="I13" ca="1">IF(OR($D13="Vet",$D13="Woman Vet"),INDEX(Input!$W:$W,MATCH(CONCATENATE($A$1,"_Saturday League_",$K$1,"_",$A13),Input!$H:$H,0)),"")</f>
        <v>10</v>
      </c>
      <c r="J13" s="38" t="str">
        <f t="array" aca="1" ref="J13" ca="1">IFERROR(INDEX(Input!$Q:$Q,MATCH(CONCATENATE($A$1,"_Saturday League_",$K$1,"_",$A13),Input!$H:$H,0)),"")</f>
        <v>Non-aero</v>
      </c>
    </row>
    <row r="14" spans="1:11" ht="12.75" x14ac:dyDescent="0.2">
      <c r="A14" s="38">
        <f t="shared" si="1"/>
        <v>11</v>
      </c>
      <c r="B14" s="38" t="str">
        <f t="array" aca="1" ref="B14" ca="1">IFERROR(INDEX(Input!$N:$N,MATCH(CONCATENATE($A$1,"_Saturday League_",$K$1,"_",$A14),Input!$H:$H,0)),"")</f>
        <v>Elaine Cotton</v>
      </c>
      <c r="C14" s="38" t="str">
        <f t="shared" ca="1" si="0"/>
        <v>SW</v>
      </c>
      <c r="D14" s="38" t="str">
        <f t="array" aca="1" ref="D14" ca="1">IFERROR(INDEX(Input!$O:$O,MATCH(CONCATENATE($A$1,"_Saturday League_",$K$1,"_",$A14),Input!$H:$H,0)),"")</f>
        <v>Woman Vet</v>
      </c>
      <c r="E14" s="39">
        <f t="array" aca="1" ref="E14" ca="1">IFERROR(INDEX(Input!$P:$P,MATCH(CONCATENATE($A$1,"_Saturday League_",$K$1,"_",$A14),Input!$H:$H,0)),"")</f>
        <v>1.6956018518518499E-2</v>
      </c>
      <c r="F14" s="38">
        <f t="array" aca="1" ref="F14" ca="1">IFERROR(INDEX(Input!$AF:$AF,MATCH(CONCATENATE($A$1,"_Saturday League_",$K$1,"_",$A14),Input!$H:$H,0)),"")</f>
        <v>8</v>
      </c>
      <c r="G14" s="38">
        <f t="array" aca="1" ref="G14" ca="1">IFERROR(INDEX(Input!$T:$T,MATCH(CONCATENATE($A$1,"_Saturday League_",$K$1,"_",$A14),Input!$H:$H,0)),"")</f>
        <v>0</v>
      </c>
      <c r="H14" s="39">
        <f t="array" aca="1" ref="H14" ca="1">IF(OR($D14="Vet",$D14="Woman Vet"),INDEX(Input!$V:$V,MATCH(CONCATENATE($A$1,"_Saturday League_",$K$1,"_",$A14),Input!$H:$H,0)),"")</f>
        <v>1.4979166666666601E-2</v>
      </c>
      <c r="I14" s="38">
        <f t="array" aca="1" ref="I14" ca="1">IF(OR($D14="Vet",$D14="Woman Vet"),INDEX(Input!$W:$W,MATCH(CONCATENATE($A$1,"_Saturday League_",$K$1,"_",$A14),Input!$H:$H,0)),"")</f>
        <v>11</v>
      </c>
      <c r="J14" s="38" t="str">
        <f t="array" aca="1" ref="J14" ca="1">IFERROR(INDEX(Input!$Q:$Q,MATCH(CONCATENATE($A$1,"_Saturday League_",$K$1,"_",$A14),Input!$H:$H,0)),"")</f>
        <v>Non-aero</v>
      </c>
    </row>
    <row r="15" spans="1:11" ht="12.75" x14ac:dyDescent="0.2">
      <c r="A15" s="38">
        <f t="shared" si="1"/>
        <v>12</v>
      </c>
      <c r="B15" s="38" t="str">
        <f t="array" aca="1" ref="B15" ca="1">IFERROR(INDEX(Input!$N:$N,MATCH(CONCATENATE($A$1,"_Saturday League_",$K$1,"_",$A15),Input!$H:$H,0)),"")</f>
        <v>Lauren Ashby</v>
      </c>
      <c r="C15" s="38" t="str">
        <f t="shared" ca="1" si="0"/>
        <v>SW</v>
      </c>
      <c r="D15" s="38" t="str">
        <f t="array" aca="1" ref="D15" ca="1">IFERROR(INDEX(Input!$O:$O,MATCH(CONCATENATE($A$1,"_Saturday League_",$K$1,"_",$A15),Input!$H:$H,0)),"")</f>
        <v>Woman Vet</v>
      </c>
      <c r="E15" s="39">
        <f t="array" aca="1" ref="E15" ca="1">IFERROR(INDEX(Input!$P:$P,MATCH(CONCATENATE($A$1,"_Saturday League_",$K$1,"_",$A15),Input!$H:$H,0)),"")</f>
        <v>1.7511574074073999E-2</v>
      </c>
      <c r="F15" s="38">
        <f t="array" aca="1" ref="F15" ca="1">IFERROR(INDEX(Input!$AF:$AF,MATCH(CONCATENATE($A$1,"_Saturday League_",$K$1,"_",$A15),Input!$H:$H,0)),"")</f>
        <v>9</v>
      </c>
      <c r="G15" s="38">
        <f t="array" aca="1" ref="G15" ca="1">IFERROR(INDEX(Input!$T:$T,MATCH(CONCATENATE($A$1,"_Saturday League_",$K$1,"_",$A15),Input!$H:$H,0)),"")</f>
        <v>0</v>
      </c>
      <c r="H15" s="39">
        <f t="array" aca="1" ref="H15" ca="1">IF(OR($D15="Vet",$D15="Woman Vet"),INDEX(Input!$V:$V,MATCH(CONCATENATE($A$1,"_Saturday League_",$K$1,"_",$A15),Input!$H:$H,0)),"")</f>
        <v>1.62395833333333E-2</v>
      </c>
      <c r="I15" s="38">
        <f t="array" aca="1" ref="I15" ca="1">IF(OR($D15="Vet",$D15="Woman Vet"),INDEX(Input!$W:$W,MATCH(CONCATENATE($A$1,"_Saturday League_",$K$1,"_",$A15),Input!$H:$H,0)),"")</f>
        <v>12</v>
      </c>
      <c r="J15" s="38" t="str">
        <f t="array" aca="1" ref="J15" ca="1">IFERROR(INDEX(Input!$Q:$Q,MATCH(CONCATENATE($A$1,"_Saturday League_",$K$1,"_",$A15),Input!$H:$H,0)),"")</f>
        <v>Non-aero First TT</v>
      </c>
    </row>
    <row r="16" spans="1:11" ht="12.75" x14ac:dyDescent="0.2">
      <c r="A16" s="38">
        <f t="shared" si="1"/>
        <v>13</v>
      </c>
      <c r="B16" s="38" t="str">
        <f t="array" aca="1" ref="B16" ca="1">IFERROR(INDEX(Input!$N:$N,MATCH(CONCATENATE($A$1,"_Saturday League_",$K$1,"_",$A16),Input!$H:$H,0)),"")</f>
        <v>Lloyd Simpson</v>
      </c>
      <c r="C16" s="38" t="str">
        <f t="shared" ca="1" si="0"/>
        <v>SW</v>
      </c>
      <c r="D16" s="38" t="str">
        <f t="array" aca="1" ref="D16" ca="1">IFERROR(INDEX(Input!$O:$O,MATCH(CONCATENATE($A$1,"_Saturday League_",$K$1,"_",$A16),Input!$H:$H,0)),"")</f>
        <v>Vet</v>
      </c>
      <c r="E16" s="39">
        <f t="array" aca="1" ref="E16" ca="1">IFERROR(INDEX(Input!$P:$P,MATCH(CONCATENATE($A$1,"_Saturday League_",$K$1,"_",$A16),Input!$H:$H,0)),"")</f>
        <v>1.8634259259259201E-2</v>
      </c>
      <c r="F16" s="38">
        <f t="array" aca="1" ref="F16" ca="1">IFERROR(INDEX(Input!$AF:$AF,MATCH(CONCATENATE($A$1,"_Saturday League_",$K$1,"_",$A16),Input!$H:$H,0)),"")</f>
        <v>10</v>
      </c>
      <c r="G16" s="38">
        <f t="array" aca="1" ref="G16" ca="1">IFERROR(INDEX(Input!$T:$T,MATCH(CONCATENATE($A$1,"_Saturday League_",$K$1,"_",$A16),Input!$H:$H,0)),"")</f>
        <v>0</v>
      </c>
      <c r="H16" s="39">
        <f t="array" aca="1" ref="H16" ca="1">IF(OR($D16="Vet",$D16="Woman Vet"),INDEX(Input!$V:$V,MATCH(CONCATENATE($A$1,"_Saturday League_",$K$1,"_",$A16),Input!$H:$H,0)),"")</f>
        <v>1.8253472222222199E-2</v>
      </c>
      <c r="I16" s="38">
        <f t="array" aca="1" ref="I16" ca="1">IF(OR($D16="Vet",$D16="Woman Vet"),INDEX(Input!$W:$W,MATCH(CONCATENATE($A$1,"_Saturday League_",$K$1,"_",$A16),Input!$H:$H,0)),"")</f>
        <v>13</v>
      </c>
      <c r="J16" s="38" t="str">
        <f t="array" aca="1" ref="J16" ca="1">IFERROR(INDEX(Input!$Q:$Q,MATCH(CONCATENATE($A$1,"_Saturday League_",$K$1,"_",$A16),Input!$H:$H,0)),"")</f>
        <v>Non-aero PB</v>
      </c>
    </row>
    <row r="17" spans="1:10" ht="12.75" x14ac:dyDescent="0.2">
      <c r="A17" s="38"/>
      <c r="B17" s="38"/>
      <c r="C17" s="38"/>
      <c r="D17" s="38"/>
      <c r="E17" s="39"/>
      <c r="F17" s="38"/>
      <c r="G17" s="38"/>
      <c r="H17" s="38"/>
      <c r="I17" s="38"/>
      <c r="J17" s="38"/>
    </row>
    <row r="18" spans="1:10" ht="12.75" x14ac:dyDescent="0.2">
      <c r="A18" s="38"/>
      <c r="B18" s="38" t="s">
        <v>53</v>
      </c>
      <c r="C18" s="46" t="s">
        <v>48</v>
      </c>
      <c r="D18" s="45"/>
      <c r="E18" s="39">
        <v>1.1018518518518518E-2</v>
      </c>
      <c r="F18" s="38"/>
      <c r="G18" s="38"/>
      <c r="H18" s="38"/>
      <c r="I18" s="38"/>
      <c r="J18" s="38" t="s">
        <v>54</v>
      </c>
    </row>
    <row r="19" spans="1:10" ht="12.75" x14ac:dyDescent="0.2">
      <c r="A19" s="38"/>
      <c r="B19" s="38"/>
      <c r="C19" s="38"/>
      <c r="D19" s="38"/>
      <c r="E19" s="39"/>
      <c r="F19" s="38"/>
      <c r="G19" s="38"/>
      <c r="H19" s="38"/>
      <c r="I19" s="38"/>
      <c r="J19" s="38"/>
    </row>
    <row r="20" spans="1:10" ht="12.75" x14ac:dyDescent="0.2">
      <c r="A20" s="38"/>
      <c r="B20" s="38"/>
      <c r="C20" s="38"/>
      <c r="D20" s="38"/>
      <c r="E20" s="39"/>
      <c r="F20" s="38"/>
      <c r="G20" s="38"/>
      <c r="H20" s="38"/>
      <c r="I20" s="38"/>
      <c r="J20" s="38"/>
    </row>
    <row r="21" spans="1:10" ht="12.75" x14ac:dyDescent="0.2">
      <c r="A21" s="38"/>
      <c r="B21" s="38"/>
      <c r="C21" s="38"/>
      <c r="D21" s="38"/>
      <c r="E21" s="39"/>
      <c r="F21" s="38"/>
      <c r="G21" s="38"/>
      <c r="H21" s="38"/>
      <c r="I21" s="38"/>
      <c r="J21" s="38"/>
    </row>
    <row r="22" spans="1:10" ht="12.75" x14ac:dyDescent="0.2">
      <c r="A22" s="38"/>
      <c r="B22" s="38"/>
      <c r="C22" s="38"/>
      <c r="D22" s="38"/>
      <c r="E22" s="39"/>
      <c r="F22" s="38"/>
      <c r="G22" s="38"/>
      <c r="H22" s="38"/>
      <c r="I22" s="38"/>
      <c r="J22" s="38"/>
    </row>
    <row r="23" spans="1:10" ht="12.75" x14ac:dyDescent="0.2">
      <c r="A23" s="38"/>
      <c r="B23" s="38"/>
      <c r="C23" s="38"/>
      <c r="D23" s="38"/>
      <c r="E23" s="39"/>
      <c r="F23" s="38"/>
      <c r="G23" s="38"/>
      <c r="H23" s="38"/>
      <c r="I23" s="38"/>
      <c r="J23" s="38"/>
    </row>
    <row r="24" spans="1:10" ht="12.75" x14ac:dyDescent="0.2">
      <c r="A24" s="38"/>
      <c r="B24" s="38"/>
      <c r="C24" s="38"/>
      <c r="D24" s="38"/>
      <c r="E24" s="39"/>
      <c r="F24" s="38"/>
      <c r="G24" s="38"/>
      <c r="H24" s="38"/>
      <c r="I24" s="38"/>
      <c r="J24" s="38"/>
    </row>
    <row r="25" spans="1:10" ht="12.75" x14ac:dyDescent="0.2">
      <c r="A25" s="38"/>
      <c r="B25" s="38"/>
      <c r="C25" s="38"/>
      <c r="D25" s="38"/>
      <c r="E25" s="39"/>
      <c r="F25" s="38"/>
      <c r="G25" s="38"/>
      <c r="H25" s="38"/>
      <c r="I25" s="38"/>
      <c r="J25" s="38"/>
    </row>
    <row r="26" spans="1:10" ht="12.75" x14ac:dyDescent="0.2">
      <c r="A26" s="38"/>
      <c r="B26" s="38"/>
      <c r="C26" s="38"/>
      <c r="D26" s="38"/>
      <c r="E26" s="39"/>
      <c r="F26" s="38"/>
      <c r="G26" s="38"/>
      <c r="H26" s="38"/>
      <c r="I26" s="38"/>
      <c r="J26" s="38"/>
    </row>
    <row r="27" spans="1:10" ht="12.75" x14ac:dyDescent="0.2">
      <c r="A27" s="38"/>
      <c r="B27" s="38"/>
      <c r="C27" s="38"/>
      <c r="D27" s="38"/>
      <c r="E27" s="39"/>
      <c r="F27" s="38"/>
      <c r="G27" s="38"/>
      <c r="H27" s="38"/>
      <c r="I27" s="38"/>
      <c r="J27" s="38"/>
    </row>
    <row r="28" spans="1:10" ht="12.75" x14ac:dyDescent="0.2">
      <c r="A28" s="38"/>
      <c r="B28" s="38"/>
      <c r="C28" s="38"/>
      <c r="D28" s="38"/>
      <c r="E28" s="39"/>
      <c r="F28" s="38"/>
      <c r="G28" s="38"/>
      <c r="H28" s="38"/>
      <c r="I28" s="38"/>
      <c r="J28" s="38"/>
    </row>
    <row r="29" spans="1:10" ht="12.75" x14ac:dyDescent="0.2">
      <c r="A29" s="38"/>
      <c r="B29" s="38"/>
      <c r="C29" s="38"/>
      <c r="D29" s="38"/>
      <c r="E29" s="39"/>
      <c r="F29" s="38"/>
      <c r="G29" s="38"/>
      <c r="H29" s="38"/>
      <c r="I29" s="38"/>
      <c r="J29" s="38"/>
    </row>
    <row r="30" spans="1:10" ht="12.75" x14ac:dyDescent="0.2">
      <c r="A30" s="38"/>
      <c r="B30" s="38"/>
      <c r="C30" s="38"/>
      <c r="D30" s="38"/>
      <c r="E30" s="39"/>
      <c r="F30" s="38"/>
      <c r="G30" s="38"/>
      <c r="H30" s="38"/>
      <c r="I30" s="38"/>
      <c r="J30" s="38"/>
    </row>
    <row r="31" spans="1:10" ht="12.75" x14ac:dyDescent="0.2">
      <c r="A31" s="38"/>
      <c r="B31" s="38"/>
      <c r="C31" s="38"/>
      <c r="D31" s="38"/>
      <c r="E31" s="39"/>
      <c r="F31" s="38"/>
      <c r="G31" s="38"/>
      <c r="H31" s="38"/>
      <c r="I31" s="38"/>
      <c r="J31" s="38"/>
    </row>
    <row r="32" spans="1:10" ht="12.75" x14ac:dyDescent="0.2">
      <c r="A32" s="38"/>
      <c r="B32" s="38"/>
      <c r="C32" s="38"/>
      <c r="D32" s="38"/>
      <c r="E32" s="39"/>
      <c r="F32" s="38"/>
      <c r="G32" s="38"/>
      <c r="H32" s="38"/>
      <c r="I32" s="38"/>
      <c r="J32" s="38"/>
    </row>
    <row r="33" spans="1:10" ht="12.75" x14ac:dyDescent="0.2">
      <c r="A33" s="38"/>
      <c r="B33" s="38"/>
      <c r="C33" s="38"/>
      <c r="D33" s="38"/>
      <c r="E33" s="39"/>
      <c r="F33" s="38"/>
      <c r="G33" s="38"/>
      <c r="H33" s="38"/>
      <c r="I33" s="38"/>
      <c r="J33" s="38"/>
    </row>
  </sheetData>
  <mergeCells count="3">
    <mergeCell ref="A1:J1"/>
    <mergeCell ref="A2:J2"/>
    <mergeCell ref="C18:D1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K31"/>
  <sheetViews>
    <sheetView workbookViewId="0">
      <pane ySplit="3" topLeftCell="A4" activePane="bottomLeft" state="frozen"/>
      <selection pane="bottomLeft" activeCell="A4" sqref="A4"/>
    </sheetView>
  </sheetViews>
  <sheetFormatPr defaultColWidth="12.5703125" defaultRowHeight="15.75" customHeight="1" x14ac:dyDescent="0.2"/>
  <cols>
    <col min="1" max="1" width="12.5703125" customWidth="1"/>
    <col min="2" max="2" width="18.85546875" customWidth="1"/>
    <col min="3" max="3" width="8.42578125" customWidth="1"/>
    <col min="4" max="4" width="14.42578125" customWidth="1"/>
    <col min="5" max="5" width="12.28515625" customWidth="1"/>
    <col min="6" max="6" width="12" customWidth="1"/>
    <col min="7" max="7" width="11.140625" customWidth="1"/>
    <col min="8" max="8" width="11" customWidth="1"/>
    <col min="9" max="9" width="8.85546875" customWidth="1"/>
    <col min="10" max="10" width="24.42578125" customWidth="1"/>
    <col min="11" max="11" width="1.28515625" customWidth="1"/>
  </cols>
  <sheetData>
    <row r="1" spans="1:11" ht="18" x14ac:dyDescent="0.25">
      <c r="A1" s="41">
        <v>45836</v>
      </c>
      <c r="B1" s="42"/>
      <c r="C1" s="42"/>
      <c r="D1" s="42"/>
      <c r="E1" s="42"/>
      <c r="F1" s="42"/>
      <c r="G1" s="42"/>
      <c r="H1" s="42"/>
      <c r="I1" s="42"/>
      <c r="J1" s="42"/>
      <c r="K1" s="34">
        <v>7</v>
      </c>
    </row>
    <row r="2" spans="1:11" ht="18" x14ac:dyDescent="0.25">
      <c r="A2" s="43" t="s">
        <v>38</v>
      </c>
      <c r="B2" s="44"/>
      <c r="C2" s="44"/>
      <c r="D2" s="44"/>
      <c r="E2" s="44"/>
      <c r="F2" s="44"/>
      <c r="G2" s="44"/>
      <c r="H2" s="44"/>
      <c r="I2" s="44"/>
      <c r="J2" s="45"/>
    </row>
    <row r="3" spans="1:11" ht="35.25" customHeight="1" x14ac:dyDescent="0.2">
      <c r="A3" s="35" t="s">
        <v>9</v>
      </c>
      <c r="B3" s="35" t="s">
        <v>39</v>
      </c>
      <c r="C3" s="35" t="s">
        <v>40</v>
      </c>
      <c r="D3" s="35" t="s">
        <v>41</v>
      </c>
      <c r="E3" s="36" t="s">
        <v>42</v>
      </c>
      <c r="F3" s="35" t="s">
        <v>43</v>
      </c>
      <c r="G3" s="35"/>
      <c r="H3" s="35" t="s">
        <v>44</v>
      </c>
      <c r="I3" s="35" t="s">
        <v>45</v>
      </c>
      <c r="J3" s="35" t="s">
        <v>46</v>
      </c>
      <c r="K3" s="37"/>
    </row>
    <row r="4" spans="1:11" ht="12.75" x14ac:dyDescent="0.2">
      <c r="A4" s="38">
        <v>1</v>
      </c>
      <c r="B4" s="38" t="str">
        <f t="array" aca="1" ref="B4" ca="1">IFERROR(INDEX(Input!$N:$N,MATCH(CONCATENATE($A$1,"_Saturday League_",$K$1,"_",$A4),Input!$H:$H,0)),"")</f>
        <v>Ben Pennington</v>
      </c>
      <c r="C4" s="38" t="str">
        <f t="shared" ref="C4:C12" ca="1" si="0">IF(B4="","","SW")</f>
        <v>SW</v>
      </c>
      <c r="D4" s="38" t="str">
        <f t="array" aca="1" ref="D4" ca="1">IFERROR(INDEX(Input!$O:$O,MATCH(CONCATENATE($A$1,"_Saturday League_",$K$1,"_",$A4),Input!$H:$H,0)),"")</f>
        <v>Vet</v>
      </c>
      <c r="E4" s="39">
        <f t="array" aca="1" ref="E4" ca="1">IFERROR(INDEX(Input!$P:$P,MATCH(CONCATENATE($A$1,"_Saturday League_",$K$1,"_",$A4),Input!$H:$H,0)),"")</f>
        <v>1.34259259259259E-2</v>
      </c>
      <c r="F4" s="38">
        <f t="array" aca="1" ref="F4" ca="1">IFERROR(INDEX(Input!$AF:$AF,MATCH(CONCATENATE($A$1,"_Saturday League_",$K$1,"_",$A4),Input!$H:$H,0)),"")</f>
        <v>1</v>
      </c>
      <c r="G4" s="38">
        <f t="array" aca="1" ref="G4" ca="1">IFERROR(INDEX(Input!$T:$T,MATCH(CONCATENATE($A$1,"_Saturday League_",$K$1,"_",$A4),Input!$H:$H,0)),"")</f>
        <v>0</v>
      </c>
      <c r="H4" s="39">
        <f t="array" aca="1" ref="H4" ca="1">IF(OR($D4="Vet",$D4="Woman Vet"),INDEX(Input!$V:$V,MATCH(CONCATENATE($A$1,"_Saturday League_",$K$1,"_",$A4),Input!$H:$H,0)),"")</f>
        <v>1.3174768518518501E-2</v>
      </c>
      <c r="I4" s="38">
        <f t="array" aca="1" ref="I4" ca="1">IF(OR($D4="Vet",$D4="Woman Vet"),INDEX(Input!$W:$W,MATCH(CONCATENATE($A$1,"_Saturday League_",$K$1,"_",$A4),Input!$H:$H,0)),"")</f>
        <v>4</v>
      </c>
      <c r="J4" s="38" t="str">
        <f t="array" aca="1" ref="J4" ca="1">IFERROR(INDEX(Input!$Q:$Q,MATCH(CONCATENATE($A$1,"_Saturday League_",$K$1,"_",$A4),Input!$H:$H,0)),"")</f>
        <v>Non-aero</v>
      </c>
    </row>
    <row r="5" spans="1:11" ht="12.75" x14ac:dyDescent="0.2">
      <c r="A5" s="38">
        <v>2</v>
      </c>
      <c r="B5" s="38" t="str">
        <f t="array" aca="1" ref="B5" ca="1">IFERROR(INDEX(Input!$N:$N,MATCH(CONCATENATE($A$1,"_Saturday League_",$K$1,"_",$A5),Input!$H:$H,0)),"")</f>
        <v>Andy Merchant</v>
      </c>
      <c r="C5" s="38" t="str">
        <f t="shared" ca="1" si="0"/>
        <v>SW</v>
      </c>
      <c r="D5" s="38" t="str">
        <f t="array" aca="1" ref="D5" ca="1">IFERROR(INDEX(Input!$O:$O,MATCH(CONCATENATE($A$1,"_Saturday League_",$K$1,"_",$A5),Input!$H:$H,0)),"")</f>
        <v>Vet</v>
      </c>
      <c r="E5" s="39">
        <f t="array" aca="1" ref="E5" ca="1">IFERROR(INDEX(Input!$P:$P,MATCH(CONCATENATE($A$1,"_Saturday League_",$K$1,"_",$A5),Input!$H:$H,0)),"")</f>
        <v>1.34722222222222E-2</v>
      </c>
      <c r="F5" s="38" t="str">
        <f t="array" aca="1" ref="F5" ca="1">IFERROR(INDEX(Input!$AF:$AF,MATCH(CONCATENATE($A$1,"_Saturday League_",$K$1,"_",$A5),Input!$H:$H,0)),"")</f>
        <v/>
      </c>
      <c r="G5" s="38">
        <f t="array" aca="1" ref="G5" ca="1">IFERROR(INDEX(Input!$T:$T,MATCH(CONCATENATE($A$1,"_Saturday League_",$K$1,"_",$A5),Input!$H:$H,0)),"")</f>
        <v>0</v>
      </c>
      <c r="H5" s="39">
        <f t="array" aca="1" ref="H5" ca="1">IF(OR($D5="Vet",$D5="Woman Vet"),INDEX(Input!$V:$V,MATCH(CONCATENATE($A$1,"_Saturday League_",$K$1,"_",$A5),Input!$H:$H,0)),"")</f>
        <v>1.26296296296296E-2</v>
      </c>
      <c r="I5" s="38">
        <f t="array" aca="1" ref="I5" ca="1">IF(OR($D5="Vet",$D5="Woman Vet"),INDEX(Input!$W:$W,MATCH(CONCATENATE($A$1,"_Saturday League_",$K$1,"_",$A5),Input!$H:$H,0)),"")</f>
        <v>1</v>
      </c>
      <c r="J5" s="38" t="str">
        <f t="array" aca="1" ref="J5" ca="1">IFERROR(INDEX(Input!$Q:$Q,MATCH(CONCATENATE($A$1,"_Saturday League_",$K$1,"_",$A5),Input!$H:$H,0)),"")</f>
        <v/>
      </c>
    </row>
    <row r="6" spans="1:11" ht="12.75" x14ac:dyDescent="0.2">
      <c r="A6" s="38">
        <v>3</v>
      </c>
      <c r="B6" s="38" t="str">
        <f t="array" aca="1" ref="B6" ca="1">IFERROR(INDEX(Input!$N:$N,MATCH(CONCATENATE($A$1,"_Saturday League_",$K$1,"_",$A6),Input!$H:$H,0)),"")</f>
        <v>Alex Childs</v>
      </c>
      <c r="C6" s="38" t="str">
        <f t="shared" ca="1" si="0"/>
        <v>SW</v>
      </c>
      <c r="D6" s="38" t="str">
        <f t="array" aca="1" ref="D6" ca="1">IFERROR(INDEX(Input!$O:$O,MATCH(CONCATENATE($A$1,"_Saturday League_",$K$1,"_",$A6),Input!$H:$H,0)),"")</f>
        <v>Vet</v>
      </c>
      <c r="E6" s="39">
        <f t="array" aca="1" ref="E6" ca="1">IFERROR(INDEX(Input!$P:$P,MATCH(CONCATENATE($A$1,"_Saturday League_",$K$1,"_",$A6),Input!$H:$H,0)),"")</f>
        <v>1.36458333333333E-2</v>
      </c>
      <c r="F6" s="38" t="str">
        <f t="array" aca="1" ref="F6" ca="1">IFERROR(INDEX(Input!$AF:$AF,MATCH(CONCATENATE($A$1,"_Saturday League_",$K$1,"_",$A6),Input!$H:$H,0)),"")</f>
        <v/>
      </c>
      <c r="G6" s="38">
        <f t="array" aca="1" ref="G6" ca="1">IFERROR(INDEX(Input!$T:$T,MATCH(CONCATENATE($A$1,"_Saturday League_",$K$1,"_",$A6),Input!$H:$H,0)),"")</f>
        <v>0</v>
      </c>
      <c r="H6" s="39">
        <f t="array" aca="1" ref="H6" ca="1">IF(OR($D6="Vet",$D6="Woman Vet"),INDEX(Input!$V:$V,MATCH(CONCATENATE($A$1,"_Saturday League_",$K$1,"_",$A6),Input!$H:$H,0)),"")</f>
        <v>1.2868055555555501E-2</v>
      </c>
      <c r="I6" s="38">
        <f t="array" aca="1" ref="I6" ca="1">IF(OR($D6="Vet",$D6="Woman Vet"),INDEX(Input!$W:$W,MATCH(CONCATENATE($A$1,"_Saturday League_",$K$1,"_",$A6),Input!$H:$H,0)),"")</f>
        <v>2</v>
      </c>
      <c r="J6" s="38" t="str">
        <f t="array" aca="1" ref="J6" ca="1">IFERROR(INDEX(Input!$Q:$Q,MATCH(CONCATENATE($A$1,"_Saturday League_",$K$1,"_",$A6),Input!$H:$H,0)),"")</f>
        <v>First 7 mile TT</v>
      </c>
    </row>
    <row r="7" spans="1:11" ht="12.75" x14ac:dyDescent="0.2">
      <c r="A7" s="38">
        <v>4</v>
      </c>
      <c r="B7" s="38" t="str">
        <f t="array" aca="1" ref="B7" ca="1">IFERROR(INDEX(Input!$N:$N,MATCH(CONCATENATE($A$1,"_Saturday League_",$K$1,"_",$A7),Input!$H:$H,0)),"")</f>
        <v>Adam Jones</v>
      </c>
      <c r="C7" s="38" t="str">
        <f t="shared" ca="1" si="0"/>
        <v>SW</v>
      </c>
      <c r="D7" s="38" t="str">
        <f t="array" aca="1" ref="D7" ca="1">IFERROR(INDEX(Input!$O:$O,MATCH(CONCATENATE($A$1,"_Saturday League_",$K$1,"_",$A7),Input!$H:$H,0)),"")</f>
        <v>Vet</v>
      </c>
      <c r="E7" s="39">
        <f t="array" aca="1" ref="E7" ca="1">IFERROR(INDEX(Input!$P:$P,MATCH(CONCATENATE($A$1,"_Saturday League_",$K$1,"_",$A7),Input!$H:$H,0)),"")</f>
        <v>1.3877314814814801E-2</v>
      </c>
      <c r="F7" s="38">
        <f t="array" aca="1" ref="F7" ca="1">IFERROR(INDEX(Input!$AF:$AF,MATCH(CONCATENATE($A$1,"_Saturday League_",$K$1,"_",$A7),Input!$H:$H,0)),"")</f>
        <v>2</v>
      </c>
      <c r="G7" s="38">
        <f t="array" aca="1" ref="G7" ca="1">IFERROR(INDEX(Input!$T:$T,MATCH(CONCATENATE($A$1,"_Saturday League_",$K$1,"_",$A7),Input!$H:$H,0)),"")</f>
        <v>0</v>
      </c>
      <c r="H7" s="39">
        <f t="array" aca="1" ref="H7" ca="1">IF(OR($D7="Vet",$D7="Woman Vet"),INDEX(Input!$V:$V,MATCH(CONCATENATE($A$1,"_Saturday League_",$K$1,"_",$A7),Input!$H:$H,0)),"")</f>
        <v>1.33425925925925E-2</v>
      </c>
      <c r="I7" s="38">
        <f t="array" aca="1" ref="I7" ca="1">IF(OR($D7="Vet",$D7="Woman Vet"),INDEX(Input!$W:$W,MATCH(CONCATENATE($A$1,"_Saturday League_",$K$1,"_",$A7),Input!$H:$H,0)),"")</f>
        <v>5</v>
      </c>
      <c r="J7" s="38" t="str">
        <f t="array" aca="1" ref="J7" ca="1">IFERROR(INDEX(Input!$Q:$Q,MATCH(CONCATENATE($A$1,"_Saturday League_",$K$1,"_",$A7),Input!$H:$H,0)),"")</f>
        <v>Non-aero</v>
      </c>
    </row>
    <row r="8" spans="1:11" ht="12.75" x14ac:dyDescent="0.2">
      <c r="A8" s="38">
        <v>5</v>
      </c>
      <c r="B8" s="38" t="str">
        <f t="array" aca="1" ref="B8" ca="1">IFERROR(INDEX(Input!$N:$N,MATCH(CONCATENATE($A$1,"_Saturday League_",$K$1,"_",$A8),Input!$H:$H,0)),"")</f>
        <v>Tony Gowers</v>
      </c>
      <c r="C8" s="38" t="str">
        <f t="shared" ca="1" si="0"/>
        <v>SW</v>
      </c>
      <c r="D8" s="38" t="str">
        <f t="array" aca="1" ref="D8" ca="1">IFERROR(INDEX(Input!$O:$O,MATCH(CONCATENATE($A$1,"_Saturday League_",$K$1,"_",$A8),Input!$H:$H,0)),"")</f>
        <v>Vet</v>
      </c>
      <c r="E8" s="39">
        <f t="array" aca="1" ref="E8" ca="1">IFERROR(INDEX(Input!$P:$P,MATCH(CONCATENATE($A$1,"_Saturday League_",$K$1,"_",$A8),Input!$H:$H,0)),"")</f>
        <v>1.49537037037037E-2</v>
      </c>
      <c r="F8" s="38">
        <f t="array" aca="1" ref="F8" ca="1">IFERROR(INDEX(Input!$AF:$AF,MATCH(CONCATENATE($A$1,"_Saturday League_",$K$1,"_",$A8),Input!$H:$H,0)),"")</f>
        <v>3</v>
      </c>
      <c r="G8" s="38">
        <f t="array" aca="1" ref="G8" ca="1">IFERROR(INDEX(Input!$T:$T,MATCH(CONCATENATE($A$1,"_Saturday League_",$K$1,"_",$A8),Input!$H:$H,0)),"")</f>
        <v>0</v>
      </c>
      <c r="H8" s="39">
        <f t="array" aca="1" ref="H8" ca="1">IF(OR($D8="Vet",$D8="Woman Vet"),INDEX(Input!$V:$V,MATCH(CONCATENATE($A$1,"_Saturday League_",$K$1,"_",$A8),Input!$H:$H,0)),"")</f>
        <v>1.3568287037037E-2</v>
      </c>
      <c r="I8" s="38">
        <f t="array" aca="1" ref="I8" ca="1">IF(OR($D8="Vet",$D8="Woman Vet"),INDEX(Input!$W:$W,MATCH(CONCATENATE($A$1,"_Saturday League_",$K$1,"_",$A8),Input!$H:$H,0)),"")</f>
        <v>6</v>
      </c>
      <c r="J8" s="38" t="str">
        <f t="array" aca="1" ref="J8" ca="1">IFERROR(INDEX(Input!$Q:$Q,MATCH(CONCATENATE($A$1,"_Saturday League_",$K$1,"_",$A8),Input!$H:$H,0)),"")</f>
        <v>Non-aero</v>
      </c>
    </row>
    <row r="9" spans="1:11" ht="12.75" x14ac:dyDescent="0.2">
      <c r="A9" s="38">
        <v>6</v>
      </c>
      <c r="B9" s="38" t="str">
        <f t="array" aca="1" ref="B9" ca="1">IFERROR(INDEX(Input!$N:$N,MATCH(CONCATENATE($A$1,"_Saturday League_",$K$1,"_",$A9),Input!$H:$H,0)),"")</f>
        <v>Simon Gretton</v>
      </c>
      <c r="C9" s="38" t="str">
        <f t="shared" ca="1" si="0"/>
        <v>SW</v>
      </c>
      <c r="D9" s="38" t="str">
        <f t="array" aca="1" ref="D9" ca="1">IFERROR(INDEX(Input!$O:$O,MATCH(CONCATENATE($A$1,"_Saturday League_",$K$1,"_",$A9),Input!$H:$H,0)),"")</f>
        <v>Vet</v>
      </c>
      <c r="E9" s="39">
        <f t="array" aca="1" ref="E9" ca="1">IFERROR(INDEX(Input!$P:$P,MATCH(CONCATENATE($A$1,"_Saturday League_",$K$1,"_",$A9),Input!$H:$H,0)),"")</f>
        <v>1.53587962962962E-2</v>
      </c>
      <c r="F9" s="38">
        <f t="array" aca="1" ref="F9" ca="1">IFERROR(INDEX(Input!$AF:$AF,MATCH(CONCATENATE($A$1,"_Saturday League_",$K$1,"_",$A9),Input!$H:$H,0)),"")</f>
        <v>4</v>
      </c>
      <c r="G9" s="38">
        <f t="array" aca="1" ref="G9" ca="1">IFERROR(INDEX(Input!$T:$T,MATCH(CONCATENATE($A$1,"_Saturday League_",$K$1,"_",$A9),Input!$H:$H,0)),"")</f>
        <v>0</v>
      </c>
      <c r="H9" s="39">
        <f t="array" aca="1" ref="H9" ca="1">IF(OR($D9="Vet",$D9="Woman Vet"),INDEX(Input!$V:$V,MATCH(CONCATENATE($A$1,"_Saturday League_",$K$1,"_",$A9),Input!$H:$H,0)),"")</f>
        <v>1.2887731481481399E-2</v>
      </c>
      <c r="I9" s="38">
        <f t="array" aca="1" ref="I9" ca="1">IF(OR($D9="Vet",$D9="Woman Vet"),INDEX(Input!$W:$W,MATCH(CONCATENATE($A$1,"_Saturday League_",$K$1,"_",$A9),Input!$H:$H,0)),"")</f>
        <v>3</v>
      </c>
      <c r="J9" s="38" t="str">
        <f t="array" aca="1" ref="J9" ca="1">IFERROR(INDEX(Input!$Q:$Q,MATCH(CONCATENATE($A$1,"_Saturday League_",$K$1,"_",$A9),Input!$H:$H,0)),"")</f>
        <v>Non-aero</v>
      </c>
    </row>
    <row r="10" spans="1:11" ht="12.75" x14ac:dyDescent="0.2">
      <c r="A10" s="38">
        <v>7</v>
      </c>
      <c r="B10" s="38" t="str">
        <f t="array" aca="1" ref="B10" ca="1">IFERROR(INDEX(Input!$N:$N,MATCH(CONCATENATE($A$1,"_Saturday League_",$K$1,"_",$A10),Input!$H:$H,0)),"")</f>
        <v>Chris Smith</v>
      </c>
      <c r="C10" s="38" t="str">
        <f t="shared" ca="1" si="0"/>
        <v>SW</v>
      </c>
      <c r="D10" s="38" t="str">
        <f t="array" aca="1" ref="D10" ca="1">IFERROR(INDEX(Input!$O:$O,MATCH(CONCATENATE($A$1,"_Saturday League_",$K$1,"_",$A10),Input!$H:$H,0)),"")</f>
        <v>Vet</v>
      </c>
      <c r="E10" s="39">
        <f t="array" aca="1" ref="E10" ca="1">IFERROR(INDEX(Input!$P:$P,MATCH(CONCATENATE($A$1,"_Saturday League_",$K$1,"_",$A10),Input!$H:$H,0)),"")</f>
        <v>1.5625E-2</v>
      </c>
      <c r="F10" s="38">
        <f t="array" aca="1" ref="F10" ca="1">IFERROR(INDEX(Input!$AF:$AF,MATCH(CONCATENATE($A$1,"_Saturday League_",$K$1,"_",$A10),Input!$H:$H,0)),"")</f>
        <v>5</v>
      </c>
      <c r="G10" s="38">
        <f t="array" aca="1" ref="G10" ca="1">IFERROR(INDEX(Input!$T:$T,MATCH(CONCATENATE($A$1,"_Saturday League_",$K$1,"_",$A10),Input!$H:$H,0)),"")</f>
        <v>0</v>
      </c>
      <c r="H10" s="39">
        <f t="array" aca="1" ref="H10" ca="1">IF(OR($D10="Vet",$D10="Woman Vet"),INDEX(Input!$V:$V,MATCH(CONCATENATE($A$1,"_Saturday League_",$K$1,"_",$A10),Input!$H:$H,0)),"")</f>
        <v>1.46446759259259E-2</v>
      </c>
      <c r="I10" s="38">
        <f t="array" aca="1" ref="I10" ca="1">IF(OR($D10="Vet",$D10="Woman Vet"),INDEX(Input!$W:$W,MATCH(CONCATENATE($A$1,"_Saturday League_",$K$1,"_",$A10),Input!$H:$H,0)),"")</f>
        <v>7</v>
      </c>
      <c r="J10" s="38" t="str">
        <f t="array" aca="1" ref="J10" ca="1">IFERROR(INDEX(Input!$Q:$Q,MATCH(CONCATENATE($A$1,"_Saturday League_",$K$1,"_",$A10),Input!$H:$H,0)),"")</f>
        <v>Non-aero</v>
      </c>
    </row>
    <row r="11" spans="1:11" ht="12.75" x14ac:dyDescent="0.2">
      <c r="A11" s="38">
        <v>8</v>
      </c>
      <c r="B11" s="38" t="str">
        <f t="array" aca="1" ref="B11" ca="1">IFERROR(INDEX(Input!$N:$N,MATCH(CONCATENATE($A$1,"_Saturday League_",$K$1,"_",$A11),Input!$H:$H,0)),"")</f>
        <v>Elaine Cotton</v>
      </c>
      <c r="C11" s="38" t="str">
        <f t="shared" ca="1" si="0"/>
        <v>SW</v>
      </c>
      <c r="D11" s="38" t="str">
        <f t="array" aca="1" ref="D11" ca="1">IFERROR(INDEX(Input!$O:$O,MATCH(CONCATENATE($A$1,"_Saturday League_",$K$1,"_",$A11),Input!$H:$H,0)),"")</f>
        <v>Woman Vet</v>
      </c>
      <c r="E11" s="39">
        <f t="array" aca="1" ref="E11" ca="1">IFERROR(INDEX(Input!$P:$P,MATCH(CONCATENATE($A$1,"_Saturday League_",$K$1,"_",$A11),Input!$H:$H,0)),"")</f>
        <v>1.75578703703703E-2</v>
      </c>
      <c r="F11" s="38">
        <f t="array" aca="1" ref="F11" ca="1">IFERROR(INDEX(Input!$AF:$AF,MATCH(CONCATENATE($A$1,"_Saturday League_",$K$1,"_",$A11),Input!$H:$H,0)),"")</f>
        <v>6</v>
      </c>
      <c r="G11" s="38">
        <f t="array" aca="1" ref="G11" ca="1">IFERROR(INDEX(Input!$T:$T,MATCH(CONCATENATE($A$1,"_Saturday League_",$K$1,"_",$A11),Input!$H:$H,0)),"")</f>
        <v>0</v>
      </c>
      <c r="H11" s="39">
        <f t="array" aca="1" ref="H11" ca="1">IF(OR($D11="Vet",$D11="Woman Vet"),INDEX(Input!$V:$V,MATCH(CONCATENATE($A$1,"_Saturday League_",$K$1,"_",$A11),Input!$H:$H,0)),"")</f>
        <v>1.5581018518518499E-2</v>
      </c>
      <c r="I11" s="38">
        <f t="array" aca="1" ref="I11" ca="1">IF(OR($D11="Vet",$D11="Woman Vet"),INDEX(Input!$W:$W,MATCH(CONCATENATE($A$1,"_Saturday League_",$K$1,"_",$A11),Input!$H:$H,0)),"")</f>
        <v>8</v>
      </c>
      <c r="J11" s="38" t="str">
        <f t="array" aca="1" ref="J11" ca="1">IFERROR(INDEX(Input!$Q:$Q,MATCH(CONCATENATE($A$1,"_Saturday League_",$K$1,"_",$A11),Input!$H:$H,0)),"")</f>
        <v>Non-aero</v>
      </c>
    </row>
    <row r="12" spans="1:11" ht="12.75" x14ac:dyDescent="0.2">
      <c r="A12" s="38">
        <v>9</v>
      </c>
      <c r="B12" s="38" t="str">
        <f t="array" aca="1" ref="B12" ca="1">IFERROR(INDEX(Input!$N:$N,MATCH(CONCATENATE($A$1,"_Saturday League_",$K$1,"_",$A12),Input!$H:$H,0)),"")</f>
        <v>Lloyd Simpson</v>
      </c>
      <c r="C12" s="38" t="str">
        <f t="shared" ca="1" si="0"/>
        <v>SW</v>
      </c>
      <c r="D12" s="38" t="str">
        <f t="array" aca="1" ref="D12" ca="1">IFERROR(INDEX(Input!$O:$O,MATCH(CONCATENATE($A$1,"_Saturday League_",$K$1,"_",$A12),Input!$H:$H,0)),"")</f>
        <v>Vet</v>
      </c>
      <c r="E12" s="39">
        <f t="array" aca="1" ref="E12" ca="1">IFERROR(INDEX(Input!$P:$P,MATCH(CONCATENATE($A$1,"_Saturday League_",$K$1,"_",$A12),Input!$H:$H,0)),"")</f>
        <v>1.8124999999999999E-2</v>
      </c>
      <c r="F12" s="38">
        <f t="array" aca="1" ref="F12" ca="1">IFERROR(INDEX(Input!$AF:$AF,MATCH(CONCATENATE($A$1,"_Saturday League_",$K$1,"_",$A12),Input!$H:$H,0)),"")</f>
        <v>7</v>
      </c>
      <c r="G12" s="38">
        <f t="array" aca="1" ref="G12" ca="1">IFERROR(INDEX(Input!$T:$T,MATCH(CONCATENATE($A$1,"_Saturday League_",$K$1,"_",$A12),Input!$H:$H,0)),"")</f>
        <v>0</v>
      </c>
      <c r="H12" s="39">
        <f t="array" aca="1" ref="H12" ca="1">IF(OR($D12="Vet",$D12="Woman Vet"),INDEX(Input!$V:$V,MATCH(CONCATENATE($A$1,"_Saturday League_",$K$1,"_",$A12),Input!$H:$H,0)),"")</f>
        <v>1.7744212962962899E-2</v>
      </c>
      <c r="I12" s="38">
        <f t="array" aca="1" ref="I12" ca="1">IF(OR($D12="Vet",$D12="Woman Vet"),INDEX(Input!$W:$W,MATCH(CONCATENATE($A$1,"_Saturday League_",$K$1,"_",$A12),Input!$H:$H,0)),"")</f>
        <v>9</v>
      </c>
      <c r="J12" s="38" t="str">
        <f t="array" aca="1" ref="J12" ca="1">IFERROR(INDEX(Input!$Q:$Q,MATCH(CONCATENATE($A$1,"_Saturday League_",$K$1,"_",$A12),Input!$H:$H,0)),"")</f>
        <v>Non-aero PB</v>
      </c>
    </row>
    <row r="13" spans="1:11" ht="12.75" x14ac:dyDescent="0.2">
      <c r="A13" s="38"/>
      <c r="B13" s="38"/>
      <c r="C13" s="38"/>
      <c r="D13" s="38"/>
      <c r="E13" s="39"/>
      <c r="F13" s="38"/>
      <c r="G13" s="38"/>
      <c r="H13" s="38"/>
      <c r="I13" s="38"/>
      <c r="J13" s="38"/>
    </row>
    <row r="14" spans="1:11" ht="12.75" x14ac:dyDescent="0.2">
      <c r="A14" s="38"/>
      <c r="B14" s="38" t="s">
        <v>47</v>
      </c>
      <c r="C14" s="46" t="s">
        <v>48</v>
      </c>
      <c r="D14" s="45"/>
      <c r="E14" s="39">
        <v>1.1180555555555555E-2</v>
      </c>
      <c r="F14" s="38"/>
      <c r="G14" s="38"/>
      <c r="H14" s="38"/>
      <c r="I14" s="38"/>
      <c r="J14" s="38"/>
    </row>
    <row r="15" spans="1:11" ht="12.75" x14ac:dyDescent="0.2">
      <c r="A15" s="38"/>
      <c r="B15" s="38"/>
      <c r="C15" s="46"/>
      <c r="D15" s="45"/>
      <c r="E15" s="39"/>
      <c r="F15" s="38"/>
      <c r="G15" s="38"/>
      <c r="H15" s="38"/>
      <c r="I15" s="38"/>
      <c r="J15" s="38"/>
    </row>
    <row r="16" spans="1:11" ht="12.75" x14ac:dyDescent="0.2">
      <c r="A16" s="38"/>
      <c r="B16" s="38"/>
      <c r="C16" s="46"/>
      <c r="D16" s="45"/>
      <c r="E16" s="39"/>
      <c r="F16" s="38"/>
      <c r="G16" s="38"/>
      <c r="H16" s="38"/>
      <c r="I16" s="38"/>
      <c r="J16" s="38"/>
    </row>
    <row r="17" spans="1:10" ht="12.75" x14ac:dyDescent="0.2">
      <c r="A17" s="38"/>
      <c r="B17" s="38"/>
      <c r="C17" s="46"/>
      <c r="D17" s="45"/>
      <c r="E17" s="39"/>
      <c r="F17" s="38"/>
      <c r="G17" s="38"/>
      <c r="H17" s="38"/>
      <c r="I17" s="38"/>
      <c r="J17" s="38"/>
    </row>
    <row r="18" spans="1:10" ht="12.75" x14ac:dyDescent="0.2">
      <c r="A18" s="38"/>
      <c r="B18" s="38"/>
      <c r="C18" s="38"/>
      <c r="D18" s="38"/>
      <c r="E18" s="39"/>
      <c r="F18" s="38"/>
      <c r="G18" s="38"/>
      <c r="H18" s="38"/>
      <c r="I18" s="38"/>
      <c r="J18" s="38"/>
    </row>
    <row r="19" spans="1:10" ht="12.75" x14ac:dyDescent="0.2">
      <c r="A19" s="38"/>
      <c r="B19" s="38"/>
      <c r="C19" s="38"/>
      <c r="D19" s="38"/>
      <c r="E19" s="39"/>
      <c r="F19" s="38"/>
      <c r="G19" s="38"/>
      <c r="H19" s="38"/>
      <c r="I19" s="38"/>
      <c r="J19" s="38"/>
    </row>
    <row r="20" spans="1:10" ht="12.75" x14ac:dyDescent="0.2">
      <c r="A20" s="38"/>
      <c r="B20" s="38"/>
      <c r="C20" s="38"/>
      <c r="D20" s="38"/>
      <c r="E20" s="39"/>
      <c r="F20" s="38"/>
      <c r="G20" s="38"/>
      <c r="H20" s="38"/>
      <c r="I20" s="38"/>
      <c r="J20" s="38"/>
    </row>
    <row r="21" spans="1:10" ht="12.75" x14ac:dyDescent="0.2">
      <c r="A21" s="38"/>
      <c r="B21" s="38"/>
      <c r="C21" s="38"/>
      <c r="D21" s="38"/>
      <c r="E21" s="39"/>
      <c r="F21" s="38"/>
      <c r="G21" s="38"/>
      <c r="H21" s="38"/>
      <c r="I21" s="38"/>
      <c r="J21" s="38"/>
    </row>
    <row r="22" spans="1:10" ht="12.75" x14ac:dyDescent="0.2">
      <c r="A22" s="38"/>
      <c r="B22" s="38"/>
      <c r="C22" s="38"/>
      <c r="D22" s="38"/>
      <c r="E22" s="39"/>
      <c r="F22" s="38"/>
      <c r="G22" s="38"/>
      <c r="H22" s="38"/>
      <c r="I22" s="38"/>
      <c r="J22" s="38"/>
    </row>
    <row r="23" spans="1:10" ht="12.75" x14ac:dyDescent="0.2">
      <c r="A23" s="38"/>
      <c r="B23" s="38"/>
      <c r="C23" s="38"/>
      <c r="D23" s="38"/>
      <c r="E23" s="39"/>
      <c r="F23" s="38"/>
      <c r="G23" s="38"/>
      <c r="H23" s="38"/>
      <c r="I23" s="38"/>
      <c r="J23" s="38"/>
    </row>
    <row r="24" spans="1:10" ht="12.75" x14ac:dyDescent="0.2">
      <c r="A24" s="38"/>
      <c r="B24" s="38"/>
      <c r="C24" s="38"/>
      <c r="D24" s="38"/>
      <c r="E24" s="39"/>
      <c r="F24" s="38"/>
      <c r="G24" s="38"/>
      <c r="H24" s="38"/>
      <c r="I24" s="38"/>
      <c r="J24" s="38"/>
    </row>
    <row r="25" spans="1:10" ht="12.75" x14ac:dyDescent="0.2">
      <c r="A25" s="38"/>
      <c r="B25" s="38"/>
      <c r="C25" s="38"/>
      <c r="D25" s="38"/>
      <c r="E25" s="39"/>
      <c r="F25" s="38"/>
      <c r="G25" s="38"/>
      <c r="H25" s="38"/>
      <c r="I25" s="38"/>
      <c r="J25" s="38"/>
    </row>
    <row r="26" spans="1:10" ht="12.75" x14ac:dyDescent="0.2">
      <c r="A26" s="38"/>
      <c r="B26" s="38"/>
      <c r="C26" s="38"/>
      <c r="D26" s="38"/>
      <c r="E26" s="39"/>
      <c r="F26" s="38"/>
      <c r="G26" s="38"/>
      <c r="H26" s="38"/>
      <c r="I26" s="38"/>
      <c r="J26" s="38"/>
    </row>
    <row r="27" spans="1:10" ht="12.75" x14ac:dyDescent="0.2">
      <c r="A27" s="38"/>
      <c r="B27" s="38"/>
      <c r="C27" s="38"/>
      <c r="D27" s="38"/>
      <c r="E27" s="39"/>
      <c r="F27" s="38"/>
      <c r="G27" s="38"/>
      <c r="H27" s="38"/>
      <c r="I27" s="38"/>
      <c r="J27" s="38"/>
    </row>
    <row r="28" spans="1:10" ht="12.75" x14ac:dyDescent="0.2">
      <c r="A28" s="38"/>
      <c r="B28" s="38"/>
      <c r="C28" s="38"/>
      <c r="D28" s="38"/>
      <c r="E28" s="39"/>
      <c r="F28" s="38"/>
      <c r="G28" s="38"/>
      <c r="H28" s="38"/>
      <c r="I28" s="38"/>
      <c r="J28" s="38"/>
    </row>
    <row r="29" spans="1:10" ht="12.75" x14ac:dyDescent="0.2">
      <c r="A29" s="38"/>
      <c r="B29" s="38"/>
      <c r="C29" s="38"/>
      <c r="D29" s="38"/>
      <c r="E29" s="39"/>
      <c r="F29" s="38"/>
      <c r="G29" s="38"/>
      <c r="H29" s="38"/>
      <c r="I29" s="38"/>
      <c r="J29" s="38"/>
    </row>
    <row r="30" spans="1:10" ht="12.75" x14ac:dyDescent="0.2">
      <c r="A30" s="38"/>
      <c r="B30" s="38"/>
      <c r="C30" s="38"/>
      <c r="D30" s="38"/>
      <c r="E30" s="39"/>
      <c r="F30" s="38"/>
      <c r="G30" s="38"/>
      <c r="H30" s="38"/>
      <c r="I30" s="38"/>
      <c r="J30" s="38"/>
    </row>
    <row r="31" spans="1:10" ht="12.75" x14ac:dyDescent="0.2">
      <c r="A31" s="38"/>
      <c r="B31" s="38"/>
      <c r="C31" s="38"/>
      <c r="D31" s="38"/>
      <c r="E31" s="39"/>
      <c r="F31" s="38"/>
      <c r="G31" s="38"/>
      <c r="H31" s="38"/>
      <c r="I31" s="38"/>
      <c r="J31" s="38"/>
    </row>
  </sheetData>
  <mergeCells count="6">
    <mergeCell ref="C17:D17"/>
    <mergeCell ref="A1:J1"/>
    <mergeCell ref="A2:J2"/>
    <mergeCell ref="C14:D14"/>
    <mergeCell ref="C15:D15"/>
    <mergeCell ref="C16:D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M43"/>
  <sheetViews>
    <sheetView tabSelected="1" workbookViewId="0">
      <pane ySplit="3" topLeftCell="A4" activePane="bottomLeft" state="frozen"/>
      <selection pane="bottomLeft" activeCell="A4" sqref="A4"/>
    </sheetView>
  </sheetViews>
  <sheetFormatPr defaultColWidth="12.5703125" defaultRowHeight="15.75" customHeight="1" x14ac:dyDescent="0.2"/>
  <cols>
    <col min="1" max="1" width="31" bestFit="1" customWidth="1"/>
    <col min="2" max="2" width="17.85546875" bestFit="1" customWidth="1"/>
    <col min="3" max="3" width="5.5703125" bestFit="1" customWidth="1"/>
    <col min="4" max="4" width="15.140625" bestFit="1" customWidth="1"/>
    <col min="5" max="8" width="9.42578125" bestFit="1" customWidth="1"/>
    <col min="9" max="12" width="9.7109375" bestFit="1" customWidth="1"/>
    <col min="13" max="13" width="8.7109375" customWidth="1"/>
  </cols>
  <sheetData>
    <row r="1" spans="1:13" ht="15.75" customHeight="1" x14ac:dyDescent="0.4">
      <c r="A1" s="11" t="s">
        <v>7</v>
      </c>
      <c r="B1" s="11"/>
      <c r="C1" s="12">
        <v>5</v>
      </c>
      <c r="D1" s="11" t="s">
        <v>8</v>
      </c>
      <c r="E1" s="13"/>
      <c r="F1" s="14">
        <f ca="1">COUNTIF(C4:C113,"&gt;"&amp;0)+3</f>
        <v>23</v>
      </c>
      <c r="G1" s="15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28" ca="1" si="2">RANK(C4,$C$4:$C$49)</f>
        <v>1</v>
      </c>
      <c r="B4" s="21" t="s">
        <v>13</v>
      </c>
      <c r="C4" s="22">
        <f t="array" aca="1" ref="C4" ca="1">SUM(LARGE(E4:M4,{1,2,3,4,5}))</f>
        <v>235</v>
      </c>
      <c r="D4" s="22">
        <f t="shared" ref="D4:D28" ca="1" si="3">COUNTIF(E4:M4,"&gt;"&amp;0)</f>
        <v>4</v>
      </c>
      <c r="E4" s="22">
        <f ca="1">SUMPRODUCT((Input!$K$3:$K$1000=E$2)*(Input!$N$3:$N$1000=$B4)*(Input!$R$3:$R$1000))</f>
        <v>59</v>
      </c>
      <c r="F4" s="22">
        <f ca="1">SUMPRODUCT((Input!$K$3:$K$1000=F$2)*(Input!$N$3:$N$1000=$B4)*(Input!$R$3:$R$1000))</f>
        <v>58</v>
      </c>
      <c r="G4" s="22">
        <f ca="1">SUMPRODUCT((Input!$K$3:$K$1000=G$2)*(Input!$N$3:$N$1000=$B4)*(Input!$R$3:$R$1000))</f>
        <v>58</v>
      </c>
      <c r="H4" s="22">
        <f ca="1">SUMPRODUCT((Input!$K$3:$K$1000=H$2)*(Input!$N$3:$N$1000=$B4)*(Input!$R$3:$R$1000))</f>
        <v>60</v>
      </c>
      <c r="I4" s="22">
        <f ca="1">SUMPRODUCT((Input!$K$3:$K$1000=I$2)*(Input!$N$3:$N$1000=$B4)*(Input!$R$3:$R$1000))</f>
        <v>0</v>
      </c>
      <c r="J4" s="22">
        <f ca="1">SUMPRODUCT((Input!$K$3:$K$1000=J$2)*(Input!$N$3:$N$1000=$B4)*(Input!$R$3:$R$1000))</f>
        <v>0</v>
      </c>
      <c r="K4" s="22">
        <f ca="1">SUMPRODUCT((Input!$K$3:$K$1000=K$2)*(Input!$N$3:$N$1000=$B4)*(Input!$R$3:$R$1000))</f>
        <v>0</v>
      </c>
      <c r="L4" s="22">
        <f ca="1">SUMPRODUCT((Input!$K$3:$K$1000=L$2)*(Input!$N$3:$N$1000=$B4)*(Input!$R$3:$R$1000))</f>
        <v>0</v>
      </c>
      <c r="M4" s="22"/>
    </row>
    <row r="5" spans="1:13" x14ac:dyDescent="0.2">
      <c r="A5" s="20">
        <f t="shared" ca="1" si="2"/>
        <v>2</v>
      </c>
      <c r="B5" s="23" t="s">
        <v>14</v>
      </c>
      <c r="C5" s="22">
        <f t="array" aca="1" ref="C5" ca="1">SUM(LARGE(E5:M5,{1,2,3,4,5}))</f>
        <v>171</v>
      </c>
      <c r="D5" s="22">
        <f t="shared" ca="1" si="3"/>
        <v>3</v>
      </c>
      <c r="E5" s="22">
        <f ca="1">SUMPRODUCT((Input!$K$3:$K$1000=E$2)*(Input!$N$3:$N$1000=$B5)*(Input!$R$3:$R$1000))</f>
        <v>0</v>
      </c>
      <c r="F5" s="22">
        <f ca="1">SUMPRODUCT((Input!$K$3:$K$1000=F$2)*(Input!$N$3:$N$1000=$B5)*(Input!$R$3:$R$1000))</f>
        <v>56</v>
      </c>
      <c r="G5" s="22">
        <f ca="1">SUMPRODUCT((Input!$K$3:$K$1000=G$2)*(Input!$N$3:$N$1000=$B5)*(Input!$R$3:$R$1000))</f>
        <v>56</v>
      </c>
      <c r="H5" s="22">
        <f ca="1">SUMPRODUCT((Input!$K$3:$K$1000=H$2)*(Input!$N$3:$N$1000=$B5)*(Input!$R$3:$R$1000))</f>
        <v>59</v>
      </c>
      <c r="I5" s="22">
        <f ca="1">SUMPRODUCT((Input!$K$3:$K$1000=I$2)*(Input!$N$3:$N$1000=$B5)*(Input!$R$3:$R$1000))</f>
        <v>0</v>
      </c>
      <c r="J5" s="22">
        <f ca="1">SUMPRODUCT((Input!$K$3:$K$1000=J$2)*(Input!$N$3:$N$1000=$B5)*(Input!$R$3:$R$1000))</f>
        <v>0</v>
      </c>
      <c r="K5" s="22">
        <f ca="1">SUMPRODUCT((Input!$K$3:$K$1000=K$2)*(Input!$N$3:$N$1000=$B5)*(Input!$R$3:$R$1000))</f>
        <v>0</v>
      </c>
      <c r="L5" s="22">
        <f ca="1">SUMPRODUCT((Input!$K$3:$K$1000=L$2)*(Input!$N$3:$N$1000=$B5)*(Input!$R$3:$R$1000))</f>
        <v>0</v>
      </c>
      <c r="M5" s="22"/>
    </row>
    <row r="6" spans="1:13" x14ac:dyDescent="0.2">
      <c r="A6" s="20">
        <f t="shared" ca="1" si="2"/>
        <v>3</v>
      </c>
      <c r="B6" s="23" t="s">
        <v>15</v>
      </c>
      <c r="C6" s="22">
        <f t="array" aca="1" ref="C6" ca="1">SUM(LARGE(E6:M6,{1,2,3,4,5}))</f>
        <v>167</v>
      </c>
      <c r="D6" s="22">
        <f t="shared" ca="1" si="3"/>
        <v>3</v>
      </c>
      <c r="E6" s="22">
        <f ca="1">SUMPRODUCT((Input!$K$3:$K$1000=E$2)*(Input!$N$3:$N$1000=$B6)*(Input!$R$3:$R$1000))</f>
        <v>0</v>
      </c>
      <c r="F6" s="22">
        <f ca="1">SUMPRODUCT((Input!$K$3:$K$1000=F$2)*(Input!$N$3:$N$1000=$B6)*(Input!$R$3:$R$1000))</f>
        <v>55</v>
      </c>
      <c r="G6" s="22">
        <f ca="1">SUMPRODUCT((Input!$K$3:$K$1000=G$2)*(Input!$N$3:$N$1000=$B6)*(Input!$R$3:$R$1000))</f>
        <v>55</v>
      </c>
      <c r="H6" s="22">
        <f ca="1">SUMPRODUCT((Input!$K$3:$K$1000=H$2)*(Input!$N$3:$N$1000=$B6)*(Input!$R$3:$R$1000))</f>
        <v>57</v>
      </c>
      <c r="I6" s="22">
        <f ca="1">SUMPRODUCT((Input!$K$3:$K$1000=I$2)*(Input!$N$3:$N$1000=$B6)*(Input!$R$3:$R$1000))</f>
        <v>0</v>
      </c>
      <c r="J6" s="22">
        <f ca="1">SUMPRODUCT((Input!$K$3:$K$1000=J$2)*(Input!$N$3:$N$1000=$B6)*(Input!$R$3:$R$1000))</f>
        <v>0</v>
      </c>
      <c r="K6" s="22">
        <f ca="1">SUMPRODUCT((Input!$K$3:$K$1000=K$2)*(Input!$N$3:$N$1000=$B6)*(Input!$R$3:$R$1000))</f>
        <v>0</v>
      </c>
      <c r="L6" s="22">
        <f ca="1">SUMPRODUCT((Input!$K$3:$K$1000=L$2)*(Input!$N$3:$N$1000=$B6)*(Input!$R$3:$R$1000))</f>
        <v>0</v>
      </c>
      <c r="M6" s="22"/>
    </row>
    <row r="7" spans="1:13" x14ac:dyDescent="0.2">
      <c r="A7" s="20">
        <f t="shared" ca="1" si="2"/>
        <v>4</v>
      </c>
      <c r="B7" s="21" t="s">
        <v>16</v>
      </c>
      <c r="C7" s="22">
        <f t="array" aca="1" ref="C7" ca="1">SUM(LARGE(E7:M7,{1,2,3,4,5}))</f>
        <v>163</v>
      </c>
      <c r="D7" s="22">
        <f t="shared" ca="1" si="3"/>
        <v>3</v>
      </c>
      <c r="E7" s="22">
        <f ca="1">SUMPRODUCT((Input!$K$3:$K$1000=E$2)*(Input!$N$3:$N$1000=$B7)*(Input!$R$3:$R$1000))</f>
        <v>55</v>
      </c>
      <c r="F7" s="22">
        <f ca="1">SUMPRODUCT((Input!$K$3:$K$1000=F$2)*(Input!$N$3:$N$1000=$B7)*(Input!$R$3:$R$1000))</f>
        <v>53</v>
      </c>
      <c r="G7" s="22">
        <f ca="1">SUMPRODUCT((Input!$K$3:$K$1000=G$2)*(Input!$N$3:$N$1000=$B7)*(Input!$R$3:$R$1000))</f>
        <v>0</v>
      </c>
      <c r="H7" s="22">
        <f ca="1">SUMPRODUCT((Input!$K$3:$K$1000=H$2)*(Input!$N$3:$N$1000=$B7)*(Input!$R$3:$R$1000))</f>
        <v>55</v>
      </c>
      <c r="I7" s="22">
        <f ca="1">SUMPRODUCT((Input!$K$3:$K$1000=I$2)*(Input!$N$3:$N$1000=$B7)*(Input!$R$3:$R$1000))</f>
        <v>0</v>
      </c>
      <c r="J7" s="22">
        <f ca="1">SUMPRODUCT((Input!$K$3:$K$1000=J$2)*(Input!$N$3:$N$1000=$B7)*(Input!$R$3:$R$1000))</f>
        <v>0</v>
      </c>
      <c r="K7" s="22">
        <f ca="1">SUMPRODUCT((Input!$K$3:$K$1000=K$2)*(Input!$N$3:$N$1000=$B7)*(Input!$R$3:$R$1000))</f>
        <v>0</v>
      </c>
      <c r="L7" s="22">
        <f ca="1">SUMPRODUCT((Input!$K$3:$K$1000=L$2)*(Input!$N$3:$N$1000=$B7)*(Input!$R$3:$R$1000))</f>
        <v>0</v>
      </c>
      <c r="M7" s="22"/>
    </row>
    <row r="8" spans="1:13" x14ac:dyDescent="0.2">
      <c r="A8" s="20">
        <f t="shared" ca="1" si="2"/>
        <v>5</v>
      </c>
      <c r="B8" s="21" t="s">
        <v>17</v>
      </c>
      <c r="C8" s="22">
        <f t="array" aca="1" ref="C8" ca="1">SUM(LARGE(E8:M8,{1,2,3,4,5}))</f>
        <v>159</v>
      </c>
      <c r="D8" s="22">
        <f t="shared" ca="1" si="3"/>
        <v>3</v>
      </c>
      <c r="E8" s="22">
        <f ca="1">SUMPRODUCT((Input!$K$3:$K$1000=E$2)*(Input!$N$3:$N$1000=$B8)*(Input!$R$3:$R$1000))</f>
        <v>54</v>
      </c>
      <c r="F8" s="22">
        <f ca="1">SUMPRODUCT((Input!$K$3:$K$1000=F$2)*(Input!$N$3:$N$1000=$B8)*(Input!$R$3:$R$1000))</f>
        <v>0</v>
      </c>
      <c r="G8" s="22">
        <f ca="1">SUMPRODUCT((Input!$K$3:$K$1000=G$2)*(Input!$N$3:$N$1000=$B8)*(Input!$R$3:$R$1000))</f>
        <v>51</v>
      </c>
      <c r="H8" s="22">
        <f ca="1">SUMPRODUCT((Input!$K$3:$K$1000=H$2)*(Input!$N$3:$N$1000=$B8)*(Input!$R$3:$R$1000))</f>
        <v>54</v>
      </c>
      <c r="I8" s="22">
        <f ca="1">SUMPRODUCT((Input!$K$3:$K$1000=I$2)*(Input!$N$3:$N$1000=$B8)*(Input!$R$3:$R$1000))</f>
        <v>0</v>
      </c>
      <c r="J8" s="22">
        <f ca="1">SUMPRODUCT((Input!$K$3:$K$1000=J$2)*(Input!$N$3:$N$1000=$B8)*(Input!$R$3:$R$1000))</f>
        <v>0</v>
      </c>
      <c r="K8" s="22">
        <f ca="1">SUMPRODUCT((Input!$K$3:$K$1000=K$2)*(Input!$N$3:$N$1000=$B8)*(Input!$R$3:$R$1000))</f>
        <v>0</v>
      </c>
      <c r="L8" s="22">
        <f ca="1">SUMPRODUCT((Input!$K$3:$K$1000=L$2)*(Input!$N$3:$N$1000=$B8)*(Input!$R$3:$R$1000))</f>
        <v>0</v>
      </c>
      <c r="M8" s="22"/>
    </row>
    <row r="9" spans="1:13" x14ac:dyDescent="0.2">
      <c r="A9" s="20">
        <f t="shared" ca="1" si="2"/>
        <v>6</v>
      </c>
      <c r="B9" s="21" t="s">
        <v>18</v>
      </c>
      <c r="C9" s="22">
        <f t="array" aca="1" ref="C9" ca="1">SUM(LARGE(E9:M9,{1,2,3,4,5}))</f>
        <v>155</v>
      </c>
      <c r="D9" s="22">
        <f t="shared" ca="1" si="3"/>
        <v>3</v>
      </c>
      <c r="E9" s="22">
        <f ca="1">SUMPRODUCT((Input!$K$3:$K$1000=E$2)*(Input!$N$3:$N$1000=$B9)*(Input!$R$3:$R$1000))</f>
        <v>0</v>
      </c>
      <c r="F9" s="22">
        <f ca="1">SUMPRODUCT((Input!$K$3:$K$1000=F$2)*(Input!$N$3:$N$1000=$B9)*(Input!$R$3:$R$1000))</f>
        <v>52</v>
      </c>
      <c r="G9" s="22">
        <f ca="1">SUMPRODUCT((Input!$K$3:$K$1000=G$2)*(Input!$N$3:$N$1000=$B9)*(Input!$R$3:$R$1000))</f>
        <v>50</v>
      </c>
      <c r="H9" s="22">
        <f ca="1">SUMPRODUCT((Input!$K$3:$K$1000=H$2)*(Input!$N$3:$N$1000=$B9)*(Input!$R$3:$R$1000))</f>
        <v>53</v>
      </c>
      <c r="I9" s="22">
        <f ca="1">SUMPRODUCT((Input!$K$3:$K$1000=I$2)*(Input!$N$3:$N$1000=$B9)*(Input!$R$3:$R$1000))</f>
        <v>0</v>
      </c>
      <c r="J9" s="22">
        <f ca="1">SUMPRODUCT((Input!$K$3:$K$1000=J$2)*(Input!$N$3:$N$1000=$B9)*(Input!$R$3:$R$1000))</f>
        <v>0</v>
      </c>
      <c r="K9" s="22">
        <f ca="1">SUMPRODUCT((Input!$K$3:$K$1000=K$2)*(Input!$N$3:$N$1000=$B9)*(Input!$R$3:$R$1000))</f>
        <v>0</v>
      </c>
      <c r="L9" s="22">
        <f ca="1">SUMPRODUCT((Input!$K$3:$K$1000=L$2)*(Input!$N$3:$N$1000=$B9)*(Input!$R$3:$R$1000))</f>
        <v>0</v>
      </c>
      <c r="M9" s="22"/>
    </row>
    <row r="10" spans="1:13" x14ac:dyDescent="0.2">
      <c r="A10" s="20">
        <f t="shared" ca="1" si="2"/>
        <v>7</v>
      </c>
      <c r="B10" s="21" t="s">
        <v>19</v>
      </c>
      <c r="C10" s="22">
        <f t="array" aca="1" ref="C10" ca="1">SUM(LARGE(E10:M10,{1,2,3,4,5}))</f>
        <v>120</v>
      </c>
      <c r="D10" s="22">
        <f t="shared" ca="1" si="3"/>
        <v>2</v>
      </c>
      <c r="E10" s="22">
        <f ca="1">SUMPRODUCT((Input!$K$3:$K$1000=E$2)*(Input!$N$3:$N$1000=$B10)*(Input!$R$3:$R$1000))</f>
        <v>60</v>
      </c>
      <c r="F10" s="22">
        <f ca="1">SUMPRODUCT((Input!$K$3:$K$1000=F$2)*(Input!$N$3:$N$1000=$B10)*(Input!$R$3:$R$1000))</f>
        <v>0</v>
      </c>
      <c r="G10" s="22">
        <f ca="1">SUMPRODUCT((Input!$K$3:$K$1000=G$2)*(Input!$N$3:$N$1000=$B10)*(Input!$R$3:$R$1000))</f>
        <v>60</v>
      </c>
      <c r="H10" s="22">
        <f ca="1">SUMPRODUCT((Input!$K$3:$K$1000=H$2)*(Input!$N$3:$N$1000=$B10)*(Input!$R$3:$R$1000))</f>
        <v>0</v>
      </c>
      <c r="I10" s="22">
        <f ca="1">SUMPRODUCT((Input!$K$3:$K$1000=I$2)*(Input!$N$3:$N$1000=$B10)*(Input!$R$3:$R$1000))</f>
        <v>0</v>
      </c>
      <c r="J10" s="22">
        <f ca="1">SUMPRODUCT((Input!$K$3:$K$1000=J$2)*(Input!$N$3:$N$1000=$B10)*(Input!$R$3:$R$1000))</f>
        <v>0</v>
      </c>
      <c r="K10" s="22">
        <f ca="1">SUMPRODUCT((Input!$K$3:$K$1000=K$2)*(Input!$N$3:$N$1000=$B10)*(Input!$R$3:$R$1000))</f>
        <v>0</v>
      </c>
      <c r="L10" s="22">
        <f ca="1">SUMPRODUCT((Input!$K$3:$K$1000=L$2)*(Input!$N$3:$N$1000=$B10)*(Input!$R$3:$R$1000))</f>
        <v>0</v>
      </c>
      <c r="M10" s="22"/>
    </row>
    <row r="11" spans="1:13" x14ac:dyDescent="0.2">
      <c r="A11" s="20">
        <f t="shared" ca="1" si="2"/>
        <v>8</v>
      </c>
      <c r="B11" s="21" t="s">
        <v>20</v>
      </c>
      <c r="C11" s="22">
        <f t="array" aca="1" ref="C11" ca="1">SUM(LARGE(E11:M11,{1,2,3,4,5}))</f>
        <v>118</v>
      </c>
      <c r="D11" s="22">
        <f t="shared" ca="1" si="3"/>
        <v>2</v>
      </c>
      <c r="E11" s="22">
        <f ca="1">SUMPRODUCT((Input!$K$3:$K$1000=E$2)*(Input!$N$3:$N$1000=$B11)*(Input!$R$3:$R$1000))</f>
        <v>58</v>
      </c>
      <c r="F11" s="22">
        <f ca="1">SUMPRODUCT((Input!$K$3:$K$1000=F$2)*(Input!$N$3:$N$1000=$B11)*(Input!$R$3:$R$1000))</f>
        <v>60</v>
      </c>
      <c r="G11" s="22">
        <f ca="1">SUMPRODUCT((Input!$K$3:$K$1000=G$2)*(Input!$N$3:$N$1000=$B11)*(Input!$R$3:$R$1000))</f>
        <v>0</v>
      </c>
      <c r="H11" s="22">
        <f ca="1">SUMPRODUCT((Input!$K$3:$K$1000=H$2)*(Input!$N$3:$N$1000=$B11)*(Input!$R$3:$R$1000))</f>
        <v>0</v>
      </c>
      <c r="I11" s="22">
        <f ca="1">SUMPRODUCT((Input!$K$3:$K$1000=I$2)*(Input!$N$3:$N$1000=$B11)*(Input!$R$3:$R$1000))</f>
        <v>0</v>
      </c>
      <c r="J11" s="22">
        <f ca="1">SUMPRODUCT((Input!$K$3:$K$1000=J$2)*(Input!$N$3:$N$1000=$B11)*(Input!$R$3:$R$1000))</f>
        <v>0</v>
      </c>
      <c r="K11" s="22">
        <f ca="1">SUMPRODUCT((Input!$K$3:$K$1000=K$2)*(Input!$N$3:$N$1000=$B11)*(Input!$R$3:$R$1000))</f>
        <v>0</v>
      </c>
      <c r="L11" s="22">
        <f ca="1">SUMPRODUCT((Input!$K$3:$K$1000=L$2)*(Input!$N$3:$N$1000=$B11)*(Input!$R$3:$R$1000))</f>
        <v>0</v>
      </c>
      <c r="M11" s="22"/>
    </row>
    <row r="12" spans="1:13" x14ac:dyDescent="0.2">
      <c r="A12" s="20">
        <f t="shared" ca="1" si="2"/>
        <v>9</v>
      </c>
      <c r="B12" s="23" t="s">
        <v>21</v>
      </c>
      <c r="C12" s="22">
        <f t="array" aca="1" ref="C12" ca="1">SUM(LARGE(E12:M12,{1,2,3,4,5}))</f>
        <v>111</v>
      </c>
      <c r="D12" s="22">
        <f t="shared" ca="1" si="3"/>
        <v>2</v>
      </c>
      <c r="E12" s="22">
        <f ca="1">SUMPRODUCT((Input!$K$3:$K$1000=E$2)*(Input!$N$3:$N$1000=$B12)*(Input!$R$3:$R$1000))</f>
        <v>0</v>
      </c>
      <c r="F12" s="22">
        <f ca="1">SUMPRODUCT((Input!$K$3:$K$1000=F$2)*(Input!$N$3:$N$1000=$B12)*(Input!$R$3:$R$1000))</f>
        <v>57</v>
      </c>
      <c r="G12" s="22">
        <f ca="1">SUMPRODUCT((Input!$K$3:$K$1000=G$2)*(Input!$N$3:$N$1000=$B12)*(Input!$R$3:$R$1000))</f>
        <v>54</v>
      </c>
      <c r="H12" s="22">
        <f ca="1">SUMPRODUCT((Input!$K$3:$K$1000=H$2)*(Input!$N$3:$N$1000=$B12)*(Input!$R$3:$R$1000))</f>
        <v>0</v>
      </c>
      <c r="I12" s="22">
        <f ca="1">SUMPRODUCT((Input!$K$3:$K$1000=I$2)*(Input!$N$3:$N$1000=$B12)*(Input!$R$3:$R$1000))</f>
        <v>0</v>
      </c>
      <c r="J12" s="22">
        <f ca="1">SUMPRODUCT((Input!$K$3:$K$1000=J$2)*(Input!$N$3:$N$1000=$B12)*(Input!$R$3:$R$1000))</f>
        <v>0</v>
      </c>
      <c r="K12" s="22">
        <f ca="1">SUMPRODUCT((Input!$K$3:$K$1000=K$2)*(Input!$N$3:$N$1000=$B12)*(Input!$R$3:$R$1000))</f>
        <v>0</v>
      </c>
      <c r="L12" s="22">
        <f ca="1">SUMPRODUCT((Input!$K$3:$K$1000=L$2)*(Input!$N$3:$N$1000=$B12)*(Input!$R$3:$R$1000))</f>
        <v>0</v>
      </c>
      <c r="M12" s="22"/>
    </row>
    <row r="13" spans="1:13" x14ac:dyDescent="0.2">
      <c r="A13" s="20">
        <f t="shared" ca="1" si="2"/>
        <v>10</v>
      </c>
      <c r="B13" s="23" t="s">
        <v>22</v>
      </c>
      <c r="C13" s="22">
        <f t="array" aca="1" ref="C13" ca="1">SUM(LARGE(E13:M13,{1,2,3,4,5}))</f>
        <v>109</v>
      </c>
      <c r="D13" s="22">
        <f t="shared" ca="1" si="3"/>
        <v>2</v>
      </c>
      <c r="E13" s="22">
        <f ca="1">SUMPRODUCT((Input!$K$3:$K$1000=E$2)*(Input!$N$3:$N$1000=$B13)*(Input!$R$3:$R$1000))</f>
        <v>0</v>
      </c>
      <c r="F13" s="22">
        <f ca="1">SUMPRODUCT((Input!$K$3:$K$1000=F$2)*(Input!$N$3:$N$1000=$B13)*(Input!$R$3:$R$1000))</f>
        <v>0</v>
      </c>
      <c r="G13" s="22">
        <f ca="1">SUMPRODUCT((Input!$K$3:$K$1000=G$2)*(Input!$N$3:$N$1000=$B13)*(Input!$R$3:$R$1000))</f>
        <v>53</v>
      </c>
      <c r="H13" s="22">
        <f ca="1">SUMPRODUCT((Input!$K$3:$K$1000=H$2)*(Input!$N$3:$N$1000=$B13)*(Input!$R$3:$R$1000))</f>
        <v>56</v>
      </c>
      <c r="I13" s="22">
        <f ca="1">SUMPRODUCT((Input!$K$3:$K$1000=I$2)*(Input!$N$3:$N$1000=$B13)*(Input!$R$3:$R$1000))</f>
        <v>0</v>
      </c>
      <c r="J13" s="22">
        <f ca="1">SUMPRODUCT((Input!$K$3:$K$1000=J$2)*(Input!$N$3:$N$1000=$B13)*(Input!$R$3:$R$1000))</f>
        <v>0</v>
      </c>
      <c r="K13" s="22">
        <f ca="1">SUMPRODUCT((Input!$K$3:$K$1000=K$2)*(Input!$N$3:$N$1000=$B13)*(Input!$R$3:$R$1000))</f>
        <v>0</v>
      </c>
      <c r="L13" s="22">
        <f ca="1">SUMPRODUCT((Input!$K$3:$K$1000=L$2)*(Input!$N$3:$N$1000=$B13)*(Input!$R$3:$R$1000))</f>
        <v>0</v>
      </c>
      <c r="M13" s="22"/>
    </row>
    <row r="14" spans="1:13" x14ac:dyDescent="0.2">
      <c r="A14" s="20">
        <f t="shared" ca="1" si="2"/>
        <v>11</v>
      </c>
      <c r="B14" s="23" t="s">
        <v>23</v>
      </c>
      <c r="C14" s="22">
        <f t="array" aca="1" ref="C14" ca="1">SUM(LARGE(E14:M14,{1,2,3,4,5}))</f>
        <v>108</v>
      </c>
      <c r="D14" s="22">
        <f t="shared" ca="1" si="3"/>
        <v>2</v>
      </c>
      <c r="E14" s="22">
        <f ca="1">SUMPRODUCT((Input!$K$3:$K$1000=E$2)*(Input!$N$3:$N$1000=$B14)*(Input!$R$3:$R$1000))</f>
        <v>56</v>
      </c>
      <c r="F14" s="22">
        <f ca="1">SUMPRODUCT((Input!$K$3:$K$1000=F$2)*(Input!$N$3:$N$1000=$B14)*(Input!$R$3:$R$1000))</f>
        <v>0</v>
      </c>
      <c r="G14" s="22">
        <f ca="1">SUMPRODUCT((Input!$K$3:$K$1000=G$2)*(Input!$N$3:$N$1000=$B14)*(Input!$R$3:$R$1000))</f>
        <v>52</v>
      </c>
      <c r="H14" s="22">
        <f ca="1">SUMPRODUCT((Input!$K$3:$K$1000=H$2)*(Input!$N$3:$N$1000=$B14)*(Input!$R$3:$R$1000))</f>
        <v>0</v>
      </c>
      <c r="I14" s="22">
        <f ca="1">SUMPRODUCT((Input!$K$3:$K$1000=I$2)*(Input!$N$3:$N$1000=$B14)*(Input!$R$3:$R$1000))</f>
        <v>0</v>
      </c>
      <c r="J14" s="22">
        <f ca="1">SUMPRODUCT((Input!$K$3:$K$1000=J$2)*(Input!$N$3:$N$1000=$B14)*(Input!$R$3:$R$1000))</f>
        <v>0</v>
      </c>
      <c r="K14" s="22">
        <f ca="1">SUMPRODUCT((Input!$K$3:$K$1000=K$2)*(Input!$N$3:$N$1000=$B14)*(Input!$R$3:$R$1000))</f>
        <v>0</v>
      </c>
      <c r="L14" s="22">
        <f ca="1">SUMPRODUCT((Input!$K$3:$K$1000=L$2)*(Input!$N$3:$N$1000=$B14)*(Input!$R$3:$R$1000))</f>
        <v>0</v>
      </c>
      <c r="M14" s="22"/>
    </row>
    <row r="15" spans="1:13" x14ac:dyDescent="0.2">
      <c r="A15" s="20">
        <f t="shared" ca="1" si="2"/>
        <v>12</v>
      </c>
      <c r="B15" s="21" t="s">
        <v>24</v>
      </c>
      <c r="C15" s="22">
        <f t="array" aca="1" ref="C15" ca="1">SUM(LARGE(E15:M15,{1,2,3,4,5}))</f>
        <v>100</v>
      </c>
      <c r="D15" s="22">
        <f t="shared" ca="1" si="3"/>
        <v>2</v>
      </c>
      <c r="E15" s="22">
        <f ca="1">SUMPRODUCT((Input!$K$3:$K$1000=E$2)*(Input!$N$3:$N$1000=$B15)*(Input!$R$3:$R$1000))</f>
        <v>0</v>
      </c>
      <c r="F15" s="22">
        <f ca="1">SUMPRODUCT((Input!$K$3:$K$1000=F$2)*(Input!$N$3:$N$1000=$B15)*(Input!$R$3:$R$1000))</f>
        <v>0</v>
      </c>
      <c r="G15" s="22">
        <f ca="1">SUMPRODUCT((Input!$K$3:$K$1000=G$2)*(Input!$N$3:$N$1000=$B15)*(Input!$R$3:$R$1000))</f>
        <v>48</v>
      </c>
      <c r="H15" s="22">
        <f ca="1">SUMPRODUCT((Input!$K$3:$K$1000=H$2)*(Input!$N$3:$N$1000=$B15)*(Input!$R$3:$R$1000))</f>
        <v>52</v>
      </c>
      <c r="I15" s="22">
        <f ca="1">SUMPRODUCT((Input!$K$3:$K$1000=I$2)*(Input!$N$3:$N$1000=$B15)*(Input!$R$3:$R$1000))</f>
        <v>0</v>
      </c>
      <c r="J15" s="22">
        <f ca="1">SUMPRODUCT((Input!$K$3:$K$1000=J$2)*(Input!$N$3:$N$1000=$B15)*(Input!$R$3:$R$1000))</f>
        <v>0</v>
      </c>
      <c r="K15" s="22">
        <f ca="1">SUMPRODUCT((Input!$K$3:$K$1000=K$2)*(Input!$N$3:$N$1000=$B15)*(Input!$R$3:$R$1000))</f>
        <v>0</v>
      </c>
      <c r="L15" s="22">
        <f ca="1">SUMPRODUCT((Input!$K$3:$K$1000=L$2)*(Input!$N$3:$N$1000=$B15)*(Input!$R$3:$R$1000))</f>
        <v>0</v>
      </c>
      <c r="M15" s="22"/>
    </row>
    <row r="16" spans="1:13" x14ac:dyDescent="0.2">
      <c r="A16" s="20">
        <f t="shared" ca="1" si="2"/>
        <v>13</v>
      </c>
      <c r="B16" s="23" t="s">
        <v>25</v>
      </c>
      <c r="C16" s="22">
        <f t="array" aca="1" ref="C16" ca="1">SUM(LARGE(E16:M16,{1,2,3,4,5}))</f>
        <v>59</v>
      </c>
      <c r="D16" s="22">
        <f t="shared" ca="1" si="3"/>
        <v>1</v>
      </c>
      <c r="E16" s="22">
        <f ca="1">SUMPRODUCT((Input!$K$3:$K$1000=E$2)*(Input!$N$3:$N$1000=$B16)*(Input!$R$3:$R$1000))</f>
        <v>0</v>
      </c>
      <c r="F16" s="22">
        <f ca="1">SUMPRODUCT((Input!$K$3:$K$1000=F$2)*(Input!$N$3:$N$1000=$B16)*(Input!$R$3:$R$1000))</f>
        <v>59</v>
      </c>
      <c r="G16" s="22">
        <f ca="1">SUMPRODUCT((Input!$K$3:$K$1000=G$2)*(Input!$N$3:$N$1000=$B16)*(Input!$R$3:$R$1000))</f>
        <v>0</v>
      </c>
      <c r="H16" s="22">
        <f ca="1">SUMPRODUCT((Input!$K$3:$K$1000=H$2)*(Input!$N$3:$N$1000=$B16)*(Input!$R$3:$R$1000))</f>
        <v>0</v>
      </c>
      <c r="I16" s="22">
        <f ca="1">SUMPRODUCT((Input!$K$3:$K$1000=I$2)*(Input!$N$3:$N$1000=$B16)*(Input!$R$3:$R$1000))</f>
        <v>0</v>
      </c>
      <c r="J16" s="22">
        <f ca="1">SUMPRODUCT((Input!$K$3:$K$1000=J$2)*(Input!$N$3:$N$1000=$B16)*(Input!$R$3:$R$1000))</f>
        <v>0</v>
      </c>
      <c r="K16" s="22">
        <f ca="1">SUMPRODUCT((Input!$K$3:$K$1000=K$2)*(Input!$N$3:$N$1000=$B16)*(Input!$R$3:$R$1000))</f>
        <v>0</v>
      </c>
      <c r="L16" s="22">
        <f ca="1">SUMPRODUCT((Input!$K$3:$K$1000=L$2)*(Input!$N$3:$N$1000=$B16)*(Input!$R$3:$R$1000))</f>
        <v>0</v>
      </c>
      <c r="M16" s="22"/>
    </row>
    <row r="17" spans="1:13" x14ac:dyDescent="0.2">
      <c r="A17" s="20">
        <f t="shared" ca="1" si="2"/>
        <v>13</v>
      </c>
      <c r="B17" s="21" t="s">
        <v>26</v>
      </c>
      <c r="C17" s="22">
        <f t="array" aca="1" ref="C17" ca="1">SUM(LARGE(E17:M17,{1,2,3,4,5}))</f>
        <v>59</v>
      </c>
      <c r="D17" s="22">
        <f t="shared" ca="1" si="3"/>
        <v>1</v>
      </c>
      <c r="E17" s="22">
        <f ca="1">SUMPRODUCT((Input!$K$3:$K$1000=E$2)*(Input!$N$3:$N$1000=$B17)*(Input!$R$3:$R$1000))</f>
        <v>0</v>
      </c>
      <c r="F17" s="22">
        <f ca="1">SUMPRODUCT((Input!$K$3:$K$1000=F$2)*(Input!$N$3:$N$1000=$B17)*(Input!$R$3:$R$1000))</f>
        <v>0</v>
      </c>
      <c r="G17" s="22">
        <f ca="1">SUMPRODUCT((Input!$K$3:$K$1000=G$2)*(Input!$N$3:$N$1000=$B17)*(Input!$R$3:$R$1000))</f>
        <v>59</v>
      </c>
      <c r="H17" s="22">
        <f ca="1">SUMPRODUCT((Input!$K$3:$K$1000=H$2)*(Input!$N$3:$N$1000=$B17)*(Input!$R$3:$R$1000))</f>
        <v>0</v>
      </c>
      <c r="I17" s="22">
        <f ca="1">SUMPRODUCT((Input!$K$3:$K$1000=I$2)*(Input!$N$3:$N$1000=$B17)*(Input!$R$3:$R$1000))</f>
        <v>0</v>
      </c>
      <c r="J17" s="22">
        <f ca="1">SUMPRODUCT((Input!$K$3:$K$1000=J$2)*(Input!$N$3:$N$1000=$B17)*(Input!$R$3:$R$1000))</f>
        <v>0</v>
      </c>
      <c r="K17" s="22">
        <f ca="1">SUMPRODUCT((Input!$K$3:$K$1000=K$2)*(Input!$N$3:$N$1000=$B17)*(Input!$R$3:$R$1000))</f>
        <v>0</v>
      </c>
      <c r="L17" s="22">
        <f ca="1">SUMPRODUCT((Input!$K$3:$K$1000=L$2)*(Input!$N$3:$N$1000=$B17)*(Input!$R$3:$R$1000))</f>
        <v>0</v>
      </c>
      <c r="M17" s="22"/>
    </row>
    <row r="18" spans="1:13" x14ac:dyDescent="0.2">
      <c r="A18" s="20">
        <f t="shared" ca="1" si="2"/>
        <v>15</v>
      </c>
      <c r="B18" s="23" t="s">
        <v>27</v>
      </c>
      <c r="C18" s="22">
        <f t="array" aca="1" ref="C18" ca="1">SUM(LARGE(E18:M18,{1,2,3,4,5}))</f>
        <v>58</v>
      </c>
      <c r="D18" s="22">
        <f t="shared" ca="1" si="3"/>
        <v>1</v>
      </c>
      <c r="E18" s="22">
        <f ca="1">SUMPRODUCT((Input!$K$3:$K$1000=E$2)*(Input!$N$3:$N$1000=$B18)*(Input!$R$3:$R$1000))</f>
        <v>0</v>
      </c>
      <c r="F18" s="22">
        <f ca="1">SUMPRODUCT((Input!$K$3:$K$1000=F$2)*(Input!$N$3:$N$1000=$B18)*(Input!$R$3:$R$1000))</f>
        <v>0</v>
      </c>
      <c r="G18" s="22">
        <f ca="1">SUMPRODUCT((Input!$K$3:$K$1000=G$2)*(Input!$N$3:$N$1000=$B18)*(Input!$R$3:$R$1000))</f>
        <v>0</v>
      </c>
      <c r="H18" s="22">
        <f ca="1">SUMPRODUCT((Input!$K$3:$K$1000=H$2)*(Input!$N$3:$N$1000=$B18)*(Input!$R$3:$R$1000))</f>
        <v>58</v>
      </c>
      <c r="I18" s="22">
        <f ca="1">SUMPRODUCT((Input!$K$3:$K$1000=I$2)*(Input!$N$3:$N$1000=$B18)*(Input!$R$3:$R$1000))</f>
        <v>0</v>
      </c>
      <c r="J18" s="22">
        <f ca="1">SUMPRODUCT((Input!$K$3:$K$1000=J$2)*(Input!$N$3:$N$1000=$B18)*(Input!$R$3:$R$1000))</f>
        <v>0</v>
      </c>
      <c r="K18" s="22">
        <f ca="1">SUMPRODUCT((Input!$K$3:$K$1000=K$2)*(Input!$N$3:$N$1000=$B18)*(Input!$R$3:$R$1000))</f>
        <v>0</v>
      </c>
      <c r="L18" s="22">
        <f ca="1">SUMPRODUCT((Input!$K$3:$K$1000=L$2)*(Input!$N$3:$N$1000=$B18)*(Input!$R$3:$R$1000))</f>
        <v>0</v>
      </c>
      <c r="M18" s="22"/>
    </row>
    <row r="19" spans="1:13" x14ac:dyDescent="0.2">
      <c r="A19" s="20">
        <f t="shared" ca="1" si="2"/>
        <v>16</v>
      </c>
      <c r="B19" s="21" t="s">
        <v>28</v>
      </c>
      <c r="C19" s="22">
        <f t="array" aca="1" ref="C19" ca="1">SUM(LARGE(E19:M19,{1,2,3,4,5}))</f>
        <v>57</v>
      </c>
      <c r="D19" s="22">
        <f t="shared" ca="1" si="3"/>
        <v>1</v>
      </c>
      <c r="E19" s="22">
        <f ca="1">SUMPRODUCT((Input!$K$3:$K$1000=E$2)*(Input!$N$3:$N$1000=$B19)*(Input!$R$3:$R$1000))</f>
        <v>57</v>
      </c>
      <c r="F19" s="22">
        <f ca="1">SUMPRODUCT((Input!$K$3:$K$1000=F$2)*(Input!$N$3:$N$1000=$B19)*(Input!$R$3:$R$1000))</f>
        <v>0</v>
      </c>
      <c r="G19" s="22">
        <f ca="1">SUMPRODUCT((Input!$K$3:$K$1000=G$2)*(Input!$N$3:$N$1000=$B19)*(Input!$R$3:$R$1000))</f>
        <v>0</v>
      </c>
      <c r="H19" s="22">
        <f ca="1">SUMPRODUCT((Input!$K$3:$K$1000=H$2)*(Input!$N$3:$N$1000=$B19)*(Input!$R$3:$R$1000))</f>
        <v>0</v>
      </c>
      <c r="I19" s="22">
        <f ca="1">SUMPRODUCT((Input!$K$3:$K$1000=I$2)*(Input!$N$3:$N$1000=$B19)*(Input!$R$3:$R$1000))</f>
        <v>0</v>
      </c>
      <c r="J19" s="22">
        <f ca="1">SUMPRODUCT((Input!$K$3:$K$1000=J$2)*(Input!$N$3:$N$1000=$B19)*(Input!$R$3:$R$1000))</f>
        <v>0</v>
      </c>
      <c r="K19" s="22">
        <f ca="1">SUMPRODUCT((Input!$K$3:$K$1000=K$2)*(Input!$N$3:$N$1000=$B19)*(Input!$R$3:$R$1000))</f>
        <v>0</v>
      </c>
      <c r="L19" s="22">
        <f ca="1">SUMPRODUCT((Input!$K$3:$K$1000=L$2)*(Input!$N$3:$N$1000=$B19)*(Input!$R$3:$R$1000))</f>
        <v>0</v>
      </c>
      <c r="M19" s="22"/>
    </row>
    <row r="20" spans="1:13" x14ac:dyDescent="0.2">
      <c r="A20" s="20">
        <f t="shared" ca="1" si="2"/>
        <v>16</v>
      </c>
      <c r="B20" s="23" t="s">
        <v>29</v>
      </c>
      <c r="C20" s="22">
        <f t="array" aca="1" ref="C20" ca="1">SUM(LARGE(E20:M20,{1,2,3,4,5}))</f>
        <v>57</v>
      </c>
      <c r="D20" s="22">
        <f t="shared" ca="1" si="3"/>
        <v>1</v>
      </c>
      <c r="E20" s="22">
        <f ca="1">SUMPRODUCT((Input!$K$3:$K$1000=E$2)*(Input!$N$3:$N$1000=$B20)*(Input!$R$3:$R$1000))</f>
        <v>0</v>
      </c>
      <c r="F20" s="22">
        <f ca="1">SUMPRODUCT((Input!$K$3:$K$1000=F$2)*(Input!$N$3:$N$1000=$B20)*(Input!$R$3:$R$1000))</f>
        <v>0</v>
      </c>
      <c r="G20" s="22">
        <f ca="1">SUMPRODUCT((Input!$K$3:$K$1000=G$2)*(Input!$N$3:$N$1000=$B20)*(Input!$R$3:$R$1000))</f>
        <v>57</v>
      </c>
      <c r="H20" s="22">
        <f ca="1">SUMPRODUCT((Input!$K$3:$K$1000=H$2)*(Input!$N$3:$N$1000=$B20)*(Input!$R$3:$R$1000))</f>
        <v>0</v>
      </c>
      <c r="I20" s="22">
        <f ca="1">SUMPRODUCT((Input!$K$3:$K$1000=I$2)*(Input!$N$3:$N$1000=$B20)*(Input!$R$3:$R$1000))</f>
        <v>0</v>
      </c>
      <c r="J20" s="22">
        <f ca="1">SUMPRODUCT((Input!$K$3:$K$1000=J$2)*(Input!$N$3:$N$1000=$B20)*(Input!$R$3:$R$1000))</f>
        <v>0</v>
      </c>
      <c r="K20" s="22">
        <f ca="1">SUMPRODUCT((Input!$K$3:$K$1000=K$2)*(Input!$N$3:$N$1000=$B20)*(Input!$R$3:$R$1000))</f>
        <v>0</v>
      </c>
      <c r="L20" s="22">
        <f ca="1">SUMPRODUCT((Input!$K$3:$K$1000=L$2)*(Input!$N$3:$N$1000=$B20)*(Input!$R$3:$R$1000))</f>
        <v>0</v>
      </c>
      <c r="M20" s="22"/>
    </row>
    <row r="21" spans="1:13" x14ac:dyDescent="0.2">
      <c r="A21" s="20">
        <f t="shared" ca="1" si="2"/>
        <v>18</v>
      </c>
      <c r="B21" s="21" t="s">
        <v>30</v>
      </c>
      <c r="C21" s="22">
        <f t="array" aca="1" ref="C21" ca="1">SUM(LARGE(E21:M21,{1,2,3,4,5}))</f>
        <v>54</v>
      </c>
      <c r="D21" s="22">
        <f t="shared" ca="1" si="3"/>
        <v>1</v>
      </c>
      <c r="E21" s="22">
        <f ca="1">SUMPRODUCT((Input!$K$3:$K$1000=E$2)*(Input!$N$3:$N$1000=$B21)*(Input!$R$3:$R$1000))</f>
        <v>0</v>
      </c>
      <c r="F21" s="22">
        <f ca="1">SUMPRODUCT((Input!$K$3:$K$1000=F$2)*(Input!$N$3:$N$1000=$B21)*(Input!$R$3:$R$1000))</f>
        <v>54</v>
      </c>
      <c r="G21" s="22">
        <f ca="1">SUMPRODUCT((Input!$K$3:$K$1000=G$2)*(Input!$N$3:$N$1000=$B21)*(Input!$R$3:$R$1000))</f>
        <v>0</v>
      </c>
      <c r="H21" s="22">
        <f ca="1">SUMPRODUCT((Input!$K$3:$K$1000=H$2)*(Input!$N$3:$N$1000=$B21)*(Input!$R$3:$R$1000))</f>
        <v>0</v>
      </c>
      <c r="I21" s="22">
        <f ca="1">SUMPRODUCT((Input!$K$3:$K$1000=I$2)*(Input!$N$3:$N$1000=$B21)*(Input!$R$3:$R$1000))</f>
        <v>0</v>
      </c>
      <c r="J21" s="22">
        <f ca="1">SUMPRODUCT((Input!$K$3:$K$1000=J$2)*(Input!$N$3:$N$1000=$B21)*(Input!$R$3:$R$1000))</f>
        <v>0</v>
      </c>
      <c r="K21" s="22">
        <f ca="1">SUMPRODUCT((Input!$K$3:$K$1000=K$2)*(Input!$N$3:$N$1000=$B21)*(Input!$R$3:$R$1000))</f>
        <v>0</v>
      </c>
      <c r="L21" s="22">
        <f ca="1">SUMPRODUCT((Input!$K$3:$K$1000=L$2)*(Input!$N$3:$N$1000=$B21)*(Input!$R$3:$R$1000))</f>
        <v>0</v>
      </c>
      <c r="M21" s="22"/>
    </row>
    <row r="22" spans="1:13" x14ac:dyDescent="0.2">
      <c r="A22" s="20">
        <f t="shared" ca="1" si="2"/>
        <v>19</v>
      </c>
      <c r="B22" s="23" t="s">
        <v>31</v>
      </c>
      <c r="C22" s="22">
        <f t="array" aca="1" ref="C22" ca="1">SUM(LARGE(E22:M22,{1,2,3,4,5}))</f>
        <v>53</v>
      </c>
      <c r="D22" s="22">
        <f t="shared" ca="1" si="3"/>
        <v>1</v>
      </c>
      <c r="E22" s="22">
        <f ca="1">SUMPRODUCT((Input!$K$3:$K$1000=E$2)*(Input!$N$3:$N$1000=$B22)*(Input!$R$3:$R$1000))</f>
        <v>53</v>
      </c>
      <c r="F22" s="22">
        <f ca="1">SUMPRODUCT((Input!$K$3:$K$1000=F$2)*(Input!$N$3:$N$1000=$B22)*(Input!$R$3:$R$1000))</f>
        <v>0</v>
      </c>
      <c r="G22" s="22">
        <f ca="1">SUMPRODUCT((Input!$K$3:$K$1000=G$2)*(Input!$N$3:$N$1000=$B22)*(Input!$R$3:$R$1000))</f>
        <v>0</v>
      </c>
      <c r="H22" s="22">
        <f ca="1">SUMPRODUCT((Input!$K$3:$K$1000=H$2)*(Input!$N$3:$N$1000=$B22)*(Input!$R$3:$R$1000))</f>
        <v>0</v>
      </c>
      <c r="I22" s="22">
        <f ca="1">SUMPRODUCT((Input!$K$3:$K$1000=I$2)*(Input!$N$3:$N$1000=$B22)*(Input!$R$3:$R$1000))</f>
        <v>0</v>
      </c>
      <c r="J22" s="22">
        <f ca="1">SUMPRODUCT((Input!$K$3:$K$1000=J$2)*(Input!$N$3:$N$1000=$B22)*(Input!$R$3:$R$1000))</f>
        <v>0</v>
      </c>
      <c r="K22" s="22">
        <f ca="1">SUMPRODUCT((Input!$K$3:$K$1000=K$2)*(Input!$N$3:$N$1000=$B22)*(Input!$R$3:$R$1000))</f>
        <v>0</v>
      </c>
      <c r="L22" s="22">
        <f ca="1">SUMPRODUCT((Input!$K$3:$K$1000=L$2)*(Input!$N$3:$N$1000=$B22)*(Input!$R$3:$R$1000))</f>
        <v>0</v>
      </c>
      <c r="M22" s="22"/>
    </row>
    <row r="23" spans="1:13" x14ac:dyDescent="0.2">
      <c r="A23" s="20">
        <f t="shared" ca="1" si="2"/>
        <v>20</v>
      </c>
      <c r="B23" s="23" t="s">
        <v>32</v>
      </c>
      <c r="C23" s="22">
        <f t="array" aca="1" ref="C23" ca="1">SUM(LARGE(E23:M23,{1,2,3,4,5}))</f>
        <v>49</v>
      </c>
      <c r="D23" s="22">
        <f t="shared" ca="1" si="3"/>
        <v>1</v>
      </c>
      <c r="E23" s="22">
        <f ca="1">SUMPRODUCT((Input!$K$3:$K$1000=E$2)*(Input!$N$3:$N$1000=$B23)*(Input!$R$3:$R$1000))</f>
        <v>0</v>
      </c>
      <c r="F23" s="22">
        <f ca="1">SUMPRODUCT((Input!$K$3:$K$1000=F$2)*(Input!$N$3:$N$1000=$B23)*(Input!$R$3:$R$1000))</f>
        <v>0</v>
      </c>
      <c r="G23" s="22">
        <f ca="1">SUMPRODUCT((Input!$K$3:$K$1000=G$2)*(Input!$N$3:$N$1000=$B23)*(Input!$R$3:$R$1000))</f>
        <v>49</v>
      </c>
      <c r="H23" s="22">
        <f ca="1">SUMPRODUCT((Input!$K$3:$K$1000=H$2)*(Input!$N$3:$N$1000=$B23)*(Input!$R$3:$R$1000))</f>
        <v>0</v>
      </c>
      <c r="I23" s="22">
        <f ca="1">SUMPRODUCT((Input!$K$3:$K$1000=I$2)*(Input!$N$3:$N$1000=$B23)*(Input!$R$3:$R$1000))</f>
        <v>0</v>
      </c>
      <c r="J23" s="22">
        <f ca="1">SUMPRODUCT((Input!$K$3:$K$1000=J$2)*(Input!$N$3:$N$1000=$B23)*(Input!$R$3:$R$1000))</f>
        <v>0</v>
      </c>
      <c r="K23" s="22">
        <f ca="1">SUMPRODUCT((Input!$K$3:$K$1000=K$2)*(Input!$N$3:$N$1000=$B23)*(Input!$R$3:$R$1000))</f>
        <v>0</v>
      </c>
      <c r="L23" s="22">
        <f ca="1">SUMPRODUCT((Input!$K$3:$K$1000=L$2)*(Input!$N$3:$N$1000=$B23)*(Input!$R$3:$R$1000))</f>
        <v>0</v>
      </c>
      <c r="M23" s="22"/>
    </row>
    <row r="24" spans="1:13" x14ac:dyDescent="0.2">
      <c r="A24" s="20">
        <f t="shared" ca="1" si="2"/>
        <v>21</v>
      </c>
      <c r="B24" s="21"/>
      <c r="C24" s="22">
        <f t="array" aca="1" ref="C24" ca="1">SUM(LARGE(E24:M24,{1,2,3,4,5}))</f>
        <v>0</v>
      </c>
      <c r="D24" s="22">
        <f t="shared" ca="1" si="3"/>
        <v>0</v>
      </c>
      <c r="E24" s="22">
        <f ca="1">SUMPRODUCT((Input!$K$3:$K$1000=E$2)*(Input!$N$3:$N$1000=$B24)*(Input!$R$3:$R$1000))</f>
        <v>0</v>
      </c>
      <c r="F24" s="22">
        <f ca="1">SUMPRODUCT((Input!$K$3:$K$1000=F$2)*(Input!$N$3:$N$1000=$B24)*(Input!$R$3:$R$1000))</f>
        <v>0</v>
      </c>
      <c r="G24" s="22">
        <f ca="1">SUMPRODUCT((Input!$K$3:$K$1000=G$2)*(Input!$N$3:$N$1000=$B24)*(Input!$R$3:$R$1000))</f>
        <v>0</v>
      </c>
      <c r="H24" s="22">
        <f ca="1">SUMPRODUCT((Input!$K$3:$K$1000=H$2)*(Input!$N$3:$N$1000=$B24)*(Input!$R$3:$R$1000))</f>
        <v>0</v>
      </c>
      <c r="I24" s="22">
        <f ca="1">SUMPRODUCT((Input!$K$3:$K$1000=I$2)*(Input!$N$3:$N$1000=$B24)*(Input!$R$3:$R$1000))</f>
        <v>0</v>
      </c>
      <c r="J24" s="22">
        <f ca="1">SUMPRODUCT((Input!$K$3:$K$1000=J$2)*(Input!$N$3:$N$1000=$B24)*(Input!$R$3:$R$1000))</f>
        <v>0</v>
      </c>
      <c r="K24" s="22">
        <f ca="1">SUMPRODUCT((Input!$K$3:$K$1000=K$2)*(Input!$N$3:$N$1000=$B24)*(Input!$R$3:$R$1000))</f>
        <v>0</v>
      </c>
      <c r="L24" s="22">
        <f ca="1">SUMPRODUCT((Input!$K$3:$K$1000=L$2)*(Input!$N$3:$N$1000=$B24)*(Input!$R$3:$R$1000))</f>
        <v>0</v>
      </c>
      <c r="M24" s="22"/>
    </row>
    <row r="25" spans="1:13" x14ac:dyDescent="0.2">
      <c r="A25" s="20">
        <f t="shared" ca="1" si="2"/>
        <v>21</v>
      </c>
      <c r="B25" s="21"/>
      <c r="C25" s="22">
        <f t="array" aca="1" ref="C25" ca="1">SUM(LARGE(E25:M25,{1,2,3,4,5}))</f>
        <v>0</v>
      </c>
      <c r="D25" s="22">
        <f t="shared" ca="1" si="3"/>
        <v>0</v>
      </c>
      <c r="E25" s="22">
        <f ca="1">SUMPRODUCT((Input!$K$3:$K$1000=E$2)*(Input!$N$3:$N$1000=$B25)*(Input!$R$3:$R$1000))</f>
        <v>0</v>
      </c>
      <c r="F25" s="22">
        <f ca="1">SUMPRODUCT((Input!$K$3:$K$1000=F$2)*(Input!$N$3:$N$1000=$B25)*(Input!$R$3:$R$1000))</f>
        <v>0</v>
      </c>
      <c r="G25" s="22">
        <f ca="1">SUMPRODUCT((Input!$K$3:$K$1000=G$2)*(Input!$N$3:$N$1000=$B25)*(Input!$R$3:$R$1000))</f>
        <v>0</v>
      </c>
      <c r="H25" s="22">
        <f ca="1">SUMPRODUCT((Input!$K$3:$K$1000=H$2)*(Input!$N$3:$N$1000=$B25)*(Input!$R$3:$R$1000))</f>
        <v>0</v>
      </c>
      <c r="I25" s="22">
        <f ca="1">SUMPRODUCT((Input!$K$3:$K$1000=I$2)*(Input!$N$3:$N$1000=$B25)*(Input!$R$3:$R$1000))</f>
        <v>0</v>
      </c>
      <c r="J25" s="22">
        <f ca="1">SUMPRODUCT((Input!$K$3:$K$1000=J$2)*(Input!$N$3:$N$1000=$B25)*(Input!$R$3:$R$1000))</f>
        <v>0</v>
      </c>
      <c r="K25" s="22">
        <f ca="1">SUMPRODUCT((Input!$K$3:$K$1000=K$2)*(Input!$N$3:$N$1000=$B25)*(Input!$R$3:$R$1000))</f>
        <v>0</v>
      </c>
      <c r="L25" s="22">
        <f ca="1">SUMPRODUCT((Input!$K$3:$K$1000=L$2)*(Input!$N$3:$N$1000=$B25)*(Input!$R$3:$R$1000))</f>
        <v>0</v>
      </c>
      <c r="M25" s="22"/>
    </row>
    <row r="26" spans="1:13" x14ac:dyDescent="0.2">
      <c r="A26" s="20">
        <f t="shared" ca="1" si="2"/>
        <v>21</v>
      </c>
      <c r="B26" s="23"/>
      <c r="C26" s="22">
        <f t="array" aca="1" ref="C26" ca="1">SUM(LARGE(E26:M26,{1,2,3,4,5}))</f>
        <v>0</v>
      </c>
      <c r="D26" s="22">
        <f t="shared" ca="1" si="3"/>
        <v>0</v>
      </c>
      <c r="E26" s="22">
        <f ca="1">SUMPRODUCT((Input!$K$3:$K$1000=E$2)*(Input!$N$3:$N$1000=$B26)*(Input!$R$3:$R$1000))</f>
        <v>0</v>
      </c>
      <c r="F26" s="22">
        <f ca="1">SUMPRODUCT((Input!$K$3:$K$1000=F$2)*(Input!$N$3:$N$1000=$B26)*(Input!$R$3:$R$1000))</f>
        <v>0</v>
      </c>
      <c r="G26" s="22">
        <f ca="1">SUMPRODUCT((Input!$K$3:$K$1000=G$2)*(Input!$N$3:$N$1000=$B26)*(Input!$R$3:$R$1000))</f>
        <v>0</v>
      </c>
      <c r="H26" s="22">
        <f ca="1">SUMPRODUCT((Input!$K$3:$K$1000=H$2)*(Input!$N$3:$N$1000=$B26)*(Input!$R$3:$R$1000))</f>
        <v>0</v>
      </c>
      <c r="I26" s="22">
        <f ca="1">SUMPRODUCT((Input!$K$3:$K$1000=I$2)*(Input!$N$3:$N$1000=$B26)*(Input!$R$3:$R$1000))</f>
        <v>0</v>
      </c>
      <c r="J26" s="22">
        <f ca="1">SUMPRODUCT((Input!$K$3:$K$1000=J$2)*(Input!$N$3:$N$1000=$B26)*(Input!$R$3:$R$1000))</f>
        <v>0</v>
      </c>
      <c r="K26" s="22">
        <f ca="1">SUMPRODUCT((Input!$K$3:$K$1000=K$2)*(Input!$N$3:$N$1000=$B26)*(Input!$R$3:$R$1000))</f>
        <v>0</v>
      </c>
      <c r="L26" s="22">
        <f ca="1">SUMPRODUCT((Input!$K$3:$K$1000=L$2)*(Input!$N$3:$N$1000=$B26)*(Input!$R$3:$R$1000))</f>
        <v>0</v>
      </c>
      <c r="M26" s="22"/>
    </row>
    <row r="27" spans="1:13" x14ac:dyDescent="0.2">
      <c r="A27" s="20">
        <f t="shared" ca="1" si="2"/>
        <v>21</v>
      </c>
      <c r="B27" s="23"/>
      <c r="C27" s="22">
        <f t="array" aca="1" ref="C27" ca="1">SUM(LARGE(E27:M27,{1,2,3,4,5}))</f>
        <v>0</v>
      </c>
      <c r="D27" s="22">
        <f t="shared" ca="1" si="3"/>
        <v>0</v>
      </c>
      <c r="E27" s="22">
        <f ca="1">SUMPRODUCT((Input!$K$3:$K$1000=E$2)*(Input!$N$3:$N$1000=$B27)*(Input!$R$3:$R$1000))</f>
        <v>0</v>
      </c>
      <c r="F27" s="22">
        <f ca="1">SUMPRODUCT((Input!$K$3:$K$1000=F$2)*(Input!$N$3:$N$1000=$B27)*(Input!$R$3:$R$1000))</f>
        <v>0</v>
      </c>
      <c r="G27" s="22">
        <f ca="1">SUMPRODUCT((Input!$K$3:$K$1000=G$2)*(Input!$N$3:$N$1000=$B27)*(Input!$R$3:$R$1000))</f>
        <v>0</v>
      </c>
      <c r="H27" s="22">
        <f ca="1">SUMPRODUCT((Input!$K$3:$K$1000=H$2)*(Input!$N$3:$N$1000=$B27)*(Input!$R$3:$R$1000))</f>
        <v>0</v>
      </c>
      <c r="I27" s="22">
        <f ca="1">SUMPRODUCT((Input!$K$3:$K$1000=I$2)*(Input!$N$3:$N$1000=$B27)*(Input!$R$3:$R$1000))</f>
        <v>0</v>
      </c>
      <c r="J27" s="22">
        <f ca="1">SUMPRODUCT((Input!$K$3:$K$1000=J$2)*(Input!$N$3:$N$1000=$B27)*(Input!$R$3:$R$1000))</f>
        <v>0</v>
      </c>
      <c r="K27" s="22">
        <f ca="1">SUMPRODUCT((Input!$K$3:$K$1000=K$2)*(Input!$N$3:$N$1000=$B27)*(Input!$R$3:$R$1000))</f>
        <v>0</v>
      </c>
      <c r="L27" s="22">
        <f ca="1">SUMPRODUCT((Input!$K$3:$K$1000=L$2)*(Input!$N$3:$N$1000=$B27)*(Input!$R$3:$R$1000))</f>
        <v>0</v>
      </c>
      <c r="M27" s="22"/>
    </row>
    <row r="28" spans="1:13" x14ac:dyDescent="0.2">
      <c r="A28" s="20">
        <f t="shared" ca="1" si="2"/>
        <v>21</v>
      </c>
      <c r="B28" s="23"/>
      <c r="C28" s="22">
        <f t="array" aca="1" ref="C28" ca="1">SUM(LARGE(E28:M28,{1,2,3,4,5}))</f>
        <v>0</v>
      </c>
      <c r="D28" s="22">
        <f t="shared" ca="1" si="3"/>
        <v>0</v>
      </c>
      <c r="E28" s="22">
        <f ca="1">SUMPRODUCT((Input!$K$3:$K$1000=E$2)*(Input!$N$3:$N$1000=$B28)*(Input!$R$3:$R$1000))</f>
        <v>0</v>
      </c>
      <c r="F28" s="22">
        <f ca="1">SUMPRODUCT((Input!$K$3:$K$1000=F$2)*(Input!$N$3:$N$1000=$B28)*(Input!$R$3:$R$1000))</f>
        <v>0</v>
      </c>
      <c r="G28" s="22">
        <f ca="1">SUMPRODUCT((Input!$K$3:$K$1000=G$2)*(Input!$N$3:$N$1000=$B28)*(Input!$R$3:$R$1000))</f>
        <v>0</v>
      </c>
      <c r="H28" s="22">
        <f ca="1">SUMPRODUCT((Input!$K$3:$K$1000=H$2)*(Input!$N$3:$N$1000=$B28)*(Input!$R$3:$R$1000))</f>
        <v>0</v>
      </c>
      <c r="I28" s="22">
        <f ca="1">SUMPRODUCT((Input!$K$3:$K$1000=I$2)*(Input!$N$3:$N$1000=$B28)*(Input!$R$3:$R$1000))</f>
        <v>0</v>
      </c>
      <c r="J28" s="22">
        <f ca="1">SUMPRODUCT((Input!$K$3:$K$1000=J$2)*(Input!$N$3:$N$1000=$B28)*(Input!$R$3:$R$1000))</f>
        <v>0</v>
      </c>
      <c r="K28" s="22">
        <f ca="1">SUMPRODUCT((Input!$K$3:$K$1000=K$2)*(Input!$N$3:$N$1000=$B28)*(Input!$R$3:$R$1000))</f>
        <v>0</v>
      </c>
      <c r="L28" s="22">
        <f ca="1">SUMPRODUCT((Input!$K$3:$K$1000=L$2)*(Input!$N$3:$N$1000=$B28)*(Input!$R$3:$R$1000))</f>
        <v>0</v>
      </c>
      <c r="M28" s="22"/>
    </row>
    <row r="29" spans="1:13" x14ac:dyDescent="0.2">
      <c r="A29" s="20"/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20"/>
      <c r="B30" s="21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x14ac:dyDescent="0.2">
      <c r="A31" s="20"/>
      <c r="B31" s="23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0"/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20"/>
      <c r="B33" s="23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20"/>
      <c r="B34" s="23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0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0"/>
      <c r="B36" s="23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ht="12.75" x14ac:dyDescent="0.2">
      <c r="A37" s="24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1:13" ht="12.75" x14ac:dyDescent="0.2">
      <c r="A38" s="24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ht="12.75" x14ac:dyDescent="0.2">
      <c r="A39" s="24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3" ht="12.75" x14ac:dyDescent="0.2">
      <c r="A40" s="24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ht="12.75" x14ac:dyDescent="0.2">
      <c r="A41" s="24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2" spans="1:13" ht="12.75" x14ac:dyDescent="0.2">
      <c r="A42" s="24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ht="12.75" x14ac:dyDescent="0.2">
      <c r="A43" s="24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</sheetData>
  <conditionalFormatting sqref="A1:M43">
    <cfRule type="cellIs" dxfId="14" priority="1" operator="equal">
      <formula>0</formula>
    </cfRule>
  </conditionalFormatting>
  <conditionalFormatting sqref="E4:M43">
    <cfRule type="expression" dxfId="13" priority="2">
      <formula>AND($D4&gt;$C$1,RANK(VALUE(E4),$E4:$M4)+COUNTIF($E4:E4,E4)-1&lt;=$C$1)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M18"/>
  <sheetViews>
    <sheetView workbookViewId="0">
      <pane ySplit="3" topLeftCell="A4" activePane="bottomLeft" state="frozen"/>
      <selection pane="bottomLeft"/>
    </sheetView>
  </sheetViews>
  <sheetFormatPr defaultColWidth="12.5703125" defaultRowHeight="15.75" customHeight="1" x14ac:dyDescent="0.2"/>
  <cols>
    <col min="1" max="1" width="31.140625" bestFit="1" customWidth="1"/>
    <col min="2" max="2" width="14.28515625" bestFit="1" customWidth="1"/>
    <col min="3" max="3" width="5.5703125" bestFit="1" customWidth="1"/>
    <col min="4" max="4" width="15.140625" bestFit="1" customWidth="1"/>
    <col min="5" max="8" width="9.42578125" bestFit="1" customWidth="1"/>
    <col min="9" max="12" width="9.7109375" bestFit="1" customWidth="1"/>
    <col min="13" max="13" width="8.7109375" customWidth="1"/>
  </cols>
  <sheetData>
    <row r="1" spans="1:13" ht="15.75" customHeight="1" x14ac:dyDescent="0.4">
      <c r="A1" s="11" t="s">
        <v>33</v>
      </c>
      <c r="B1" s="11"/>
      <c r="C1" s="12">
        <v>5</v>
      </c>
      <c r="D1" s="11" t="s">
        <v>8</v>
      </c>
      <c r="E1" s="13"/>
      <c r="F1" s="14">
        <f ca="1">COUNTIF(C4:C100,"&gt;"&amp;0)+3</f>
        <v>6</v>
      </c>
      <c r="G1" s="16"/>
      <c r="H1" s="16"/>
      <c r="I1" s="16"/>
      <c r="J1" s="16"/>
      <c r="K1" s="21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8" ca="1" si="2">RANK(C4,$C$4:$C$40)</f>
        <v>1</v>
      </c>
      <c r="B4" s="21" t="s">
        <v>18</v>
      </c>
      <c r="C4" s="22">
        <f t="array" aca="1" ref="C4" ca="1">SUM(LARGE(E4:M4,{1,2,3,4,5}))</f>
        <v>180</v>
      </c>
      <c r="D4" s="22">
        <f t="shared" ref="D4:D8" ca="1" si="3">COUNTIF(E4:M4,"&gt;"&amp;0)</f>
        <v>3</v>
      </c>
      <c r="E4" s="22">
        <f ca="1">SUMPRODUCT((Input!$K$3:$K$1000=E$2)*(Input!$N$3:$N$1000=$B4)*(Input!$Z$3:$Z$1000))</f>
        <v>0</v>
      </c>
      <c r="F4" s="22">
        <f ca="1">SUMPRODUCT((Input!$K$3:$K$1000=F$2)*(Input!$N$3:$N$1000=$B4)*(Input!$Z$3:$Z$1000))</f>
        <v>60</v>
      </c>
      <c r="G4" s="22">
        <f ca="1">SUMPRODUCT((Input!$K$3:$K$1000=G$2)*(Input!$N$3:$N$1000=$B4)*(Input!$Z$3:$Z$1000))</f>
        <v>60</v>
      </c>
      <c r="H4" s="22">
        <f ca="1">SUMPRODUCT((Input!$K$3:$K$1000=H$2)*(Input!$N$3:$N$1000=$B4)*(Input!$Z$3:$Z$1000))</f>
        <v>60</v>
      </c>
      <c r="I4" s="22">
        <f ca="1">SUMPRODUCT((Input!$K$3:$K$1000=I$2)*(Input!$N$3:$N$1000=$B4)*(Input!$Z$3:$Z$1000))</f>
        <v>0</v>
      </c>
      <c r="J4" s="22">
        <f ca="1">SUMPRODUCT((Input!$K$3:$K$1000=J$2)*(Input!$N$3:$N$1000=$B4)*(Input!$Z$3:$Z$1000))</f>
        <v>0</v>
      </c>
      <c r="K4" s="22">
        <f ca="1">SUMPRODUCT((Input!$K$3:$K$1000=K$2)*(Input!$N$3:$N$1000=$B4)*(Input!$Z$3:$Z$1000))</f>
        <v>0</v>
      </c>
      <c r="L4" s="22">
        <f ca="1">SUMPRODUCT((Input!$K$3:$K$1000=L$2)*(Input!$N$3:$N$1000=$B4)*(Input!$Z$3:$Z$1000))</f>
        <v>0</v>
      </c>
      <c r="M4" s="22"/>
    </row>
    <row r="5" spans="1:13" x14ac:dyDescent="0.2">
      <c r="A5" s="20">
        <f t="shared" ca="1" si="2"/>
        <v>2</v>
      </c>
      <c r="B5" s="21" t="s">
        <v>31</v>
      </c>
      <c r="C5" s="22">
        <f t="array" aca="1" ref="C5" ca="1">SUM(LARGE(E5:M5,{1,2,3,4,5}))</f>
        <v>60</v>
      </c>
      <c r="D5" s="22">
        <f t="shared" ca="1" si="3"/>
        <v>1</v>
      </c>
      <c r="E5" s="22">
        <f ca="1">SUMPRODUCT((Input!$K$3:$K$1000=E$2)*(Input!$N$3:$N$1000=$B5)*(Input!$Z$3:$Z$1000))</f>
        <v>60</v>
      </c>
      <c r="F5" s="22">
        <f ca="1">SUMPRODUCT((Input!$K$3:$K$1000=F$2)*(Input!$N$3:$N$1000=$B5)*(Input!$Z$3:$Z$1000))</f>
        <v>0</v>
      </c>
      <c r="G5" s="22">
        <f ca="1">SUMPRODUCT((Input!$K$3:$K$1000=G$2)*(Input!$N$3:$N$1000=$B5)*(Input!$Z$3:$Z$1000))</f>
        <v>0</v>
      </c>
      <c r="H5" s="22">
        <f ca="1">SUMPRODUCT((Input!$K$3:$K$1000=H$2)*(Input!$N$3:$N$1000=$B5)*(Input!$Z$3:$Z$1000))</f>
        <v>0</v>
      </c>
      <c r="I5" s="22">
        <f ca="1">SUMPRODUCT((Input!$K$3:$K$1000=I$2)*(Input!$N$3:$N$1000=$B5)*(Input!$Z$3:$Z$1000))</f>
        <v>0</v>
      </c>
      <c r="J5" s="22">
        <f ca="1">SUMPRODUCT((Input!$K$3:$K$1000=J$2)*(Input!$N$3:$N$1000=$B5)*(Input!$Z$3:$Z$1000))</f>
        <v>0</v>
      </c>
      <c r="K5" s="22">
        <f ca="1">SUMPRODUCT((Input!$K$3:$K$1000=K$2)*(Input!$N$3:$N$1000=$B5)*(Input!$Z$3:$Z$1000))</f>
        <v>0</v>
      </c>
      <c r="L5" s="22">
        <f ca="1">SUMPRODUCT((Input!$K$3:$K$1000=L$2)*(Input!$N$3:$N$1000=$B5)*(Input!$Z$3:$Z$1000))</f>
        <v>0</v>
      </c>
      <c r="M5" s="22"/>
    </row>
    <row r="6" spans="1:13" x14ac:dyDescent="0.2">
      <c r="A6" s="26">
        <f t="shared" ca="1" si="2"/>
        <v>3</v>
      </c>
      <c r="B6" s="27" t="s">
        <v>32</v>
      </c>
      <c r="C6" s="22">
        <f t="array" aca="1" ref="C6" ca="1">SUM(LARGE(E6:M6,{1,2,3,4,5}))</f>
        <v>59</v>
      </c>
      <c r="D6" s="22">
        <f t="shared" ca="1" si="3"/>
        <v>1</v>
      </c>
      <c r="E6" s="22">
        <f ca="1">SUMPRODUCT((Input!$K$3:$K$1000=E$2)*(Input!$N$3:$N$1000=$B6)*(Input!$Z$3:$Z$1000))</f>
        <v>0</v>
      </c>
      <c r="F6" s="22">
        <f ca="1">SUMPRODUCT((Input!$K$3:$K$1000=F$2)*(Input!$N$3:$N$1000=$B6)*(Input!$Z$3:$Z$1000))</f>
        <v>0</v>
      </c>
      <c r="G6" s="22">
        <f ca="1">SUMPRODUCT((Input!$K$3:$K$1000=G$2)*(Input!$N$3:$N$1000=$B6)*(Input!$Z$3:$Z$1000))</f>
        <v>59</v>
      </c>
      <c r="H6" s="22">
        <f ca="1">SUMPRODUCT((Input!$K$3:$K$1000=H$2)*(Input!$N$3:$N$1000=$B6)*(Input!$Z$3:$Z$1000))</f>
        <v>0</v>
      </c>
      <c r="I6" s="22">
        <f ca="1">SUMPRODUCT((Input!$K$3:$K$1000=I$2)*(Input!$N$3:$N$1000=$B6)*(Input!$Z$3:$Z$1000))</f>
        <v>0</v>
      </c>
      <c r="J6" s="22">
        <f ca="1">SUMPRODUCT((Input!$K$3:$K$1000=J$2)*(Input!$N$3:$N$1000=$B6)*(Input!$Z$3:$Z$1000))</f>
        <v>0</v>
      </c>
      <c r="K6" s="22">
        <f ca="1">SUMPRODUCT((Input!$K$3:$K$1000=K$2)*(Input!$N$3:$N$1000=$B6)*(Input!$Z$3:$Z$1000))</f>
        <v>0</v>
      </c>
      <c r="L6" s="22">
        <f ca="1">SUMPRODUCT((Input!$K$3:$K$1000=L$2)*(Input!$N$3:$N$1000=$B6)*(Input!$Z$3:$Z$1000))</f>
        <v>0</v>
      </c>
      <c r="M6" s="22"/>
    </row>
    <row r="7" spans="1:13" x14ac:dyDescent="0.2">
      <c r="A7" s="20">
        <f t="shared" ca="1" si="2"/>
        <v>4</v>
      </c>
      <c r="B7" s="21"/>
      <c r="C7" s="22">
        <f t="array" aca="1" ref="C7" ca="1">SUM(LARGE(E7:M7,{1,2,3,4,5}))</f>
        <v>0</v>
      </c>
      <c r="D7" s="22">
        <f t="shared" ca="1" si="3"/>
        <v>0</v>
      </c>
      <c r="E7" s="22">
        <f ca="1">SUMPRODUCT((Input!$K$3:$K$1000=E$2)*(Input!$N$3:$N$1000=$B7)*(Input!$Z$3:$Z$1000))</f>
        <v>0</v>
      </c>
      <c r="F7" s="22">
        <f ca="1">SUMPRODUCT((Input!$K$3:$K$1000=F$2)*(Input!$N$3:$N$1000=$B7)*(Input!$Z$3:$Z$1000))</f>
        <v>0</v>
      </c>
      <c r="G7" s="22">
        <f ca="1">SUMPRODUCT((Input!$K$3:$K$1000=G$2)*(Input!$N$3:$N$1000=$B7)*(Input!$Z$3:$Z$1000))</f>
        <v>0</v>
      </c>
      <c r="H7" s="22">
        <f ca="1">SUMPRODUCT((Input!$K$3:$K$1000=H$2)*(Input!$N$3:$N$1000=$B7)*(Input!$Z$3:$Z$1000))</f>
        <v>0</v>
      </c>
      <c r="I7" s="22">
        <f ca="1">SUMPRODUCT((Input!$K$3:$K$1000=I$2)*(Input!$N$3:$N$1000=$B7)*(Input!$Z$3:$Z$1000))</f>
        <v>0</v>
      </c>
      <c r="J7" s="22">
        <f ca="1">SUMPRODUCT((Input!$K$3:$K$1000=J$2)*(Input!$N$3:$N$1000=$B7)*(Input!$Z$3:$Z$1000))</f>
        <v>0</v>
      </c>
      <c r="K7" s="22">
        <f ca="1">SUMPRODUCT((Input!$K$3:$K$1000=K$2)*(Input!$N$3:$N$1000=$B7)*(Input!$Z$3:$Z$1000))</f>
        <v>0</v>
      </c>
      <c r="L7" s="22">
        <f ca="1">SUMPRODUCT((Input!$K$3:$K$1000=L$2)*(Input!$N$3:$N$1000=$B7)*(Input!$Z$3:$Z$1000))</f>
        <v>0</v>
      </c>
      <c r="M7" s="22"/>
    </row>
    <row r="8" spans="1:13" x14ac:dyDescent="0.2">
      <c r="A8" s="20">
        <f t="shared" ca="1" si="2"/>
        <v>4</v>
      </c>
      <c r="B8" s="21"/>
      <c r="C8" s="22">
        <f t="array" aca="1" ref="C8" ca="1">SUM(LARGE(E8:M8,{1,2,3,4,5}))</f>
        <v>0</v>
      </c>
      <c r="D8" s="22">
        <f t="shared" ca="1" si="3"/>
        <v>0</v>
      </c>
      <c r="E8" s="22">
        <f ca="1">SUMPRODUCT((Input!$K$3:$K$1000=E$2)*(Input!$N$3:$N$1000=$B8)*(Input!$Z$3:$Z$1000))</f>
        <v>0</v>
      </c>
      <c r="F8" s="22">
        <f ca="1">SUMPRODUCT((Input!$K$3:$K$1000=F$2)*(Input!$N$3:$N$1000=$B8)*(Input!$Z$3:$Z$1000))</f>
        <v>0</v>
      </c>
      <c r="G8" s="22">
        <f ca="1">SUMPRODUCT((Input!$K$3:$K$1000=G$2)*(Input!$N$3:$N$1000=$B8)*(Input!$Z$3:$Z$1000))</f>
        <v>0</v>
      </c>
      <c r="H8" s="22">
        <f ca="1">SUMPRODUCT((Input!$K$3:$K$1000=H$2)*(Input!$N$3:$N$1000=$B8)*(Input!$Z$3:$Z$1000))</f>
        <v>0</v>
      </c>
      <c r="I8" s="22">
        <f ca="1">SUMPRODUCT((Input!$K$3:$K$1000=I$2)*(Input!$N$3:$N$1000=$B8)*(Input!$Z$3:$Z$1000))</f>
        <v>0</v>
      </c>
      <c r="J8" s="22">
        <f ca="1">SUMPRODUCT((Input!$K$3:$K$1000=J$2)*(Input!$N$3:$N$1000=$B8)*(Input!$Z$3:$Z$1000))</f>
        <v>0</v>
      </c>
      <c r="K8" s="22">
        <f ca="1">SUMPRODUCT((Input!$K$3:$K$1000=K$2)*(Input!$N$3:$N$1000=$B8)*(Input!$Z$3:$Z$1000))</f>
        <v>0</v>
      </c>
      <c r="L8" s="22">
        <f ca="1">SUMPRODUCT((Input!$K$3:$K$1000=L$2)*(Input!$N$3:$N$1000=$B8)*(Input!$Z$3:$Z$1000))</f>
        <v>0</v>
      </c>
      <c r="M8" s="22"/>
    </row>
    <row r="9" spans="1:13" x14ac:dyDescent="0.2">
      <c r="A9" s="20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20"/>
      <c r="B10" s="21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20"/>
      <c r="B11" s="21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20"/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20"/>
      <c r="B13" s="21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20"/>
      <c r="B14" s="2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20"/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</row>
  </sheetData>
  <conditionalFormatting sqref="A1:M30">
    <cfRule type="cellIs" dxfId="12" priority="2" operator="equal">
      <formula>0</formula>
    </cfRule>
  </conditionalFormatting>
  <conditionalFormatting sqref="E4:M18">
    <cfRule type="expression" dxfId="11" priority="1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M30"/>
  <sheetViews>
    <sheetView workbookViewId="0">
      <pane ySplit="3" topLeftCell="A4" activePane="bottomLeft" state="frozen"/>
      <selection pane="bottomLeft" activeCell="A4" sqref="A4"/>
    </sheetView>
  </sheetViews>
  <sheetFormatPr defaultColWidth="8.5703125" defaultRowHeight="15.75" customHeight="1" x14ac:dyDescent="0.2"/>
  <cols>
    <col min="1" max="1" width="32" bestFit="1" customWidth="1"/>
    <col min="2" max="2" width="17.85546875" bestFit="1" customWidth="1"/>
    <col min="3" max="3" width="5.5703125" bestFit="1" customWidth="1"/>
    <col min="4" max="4" width="15.140625" bestFit="1" customWidth="1"/>
    <col min="5" max="8" width="9.42578125" bestFit="1" customWidth="1"/>
    <col min="9" max="12" width="9.7109375" bestFit="1" customWidth="1"/>
  </cols>
  <sheetData>
    <row r="1" spans="1:13" ht="15.75" customHeight="1" x14ac:dyDescent="0.4">
      <c r="A1" s="11" t="s">
        <v>34</v>
      </c>
      <c r="B1" s="11"/>
      <c r="C1" s="12">
        <v>5</v>
      </c>
      <c r="D1" s="11" t="s">
        <v>8</v>
      </c>
      <c r="E1" s="13"/>
      <c r="F1" s="28">
        <f ca="1">COUNTIF(C4:C100,"&gt;"&amp;0)+3</f>
        <v>19</v>
      </c>
      <c r="G1" s="16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20" ca="1" si="2">RANK(C4,$C$4:$C$40)</f>
        <v>1</v>
      </c>
      <c r="B4" s="21" t="s">
        <v>13</v>
      </c>
      <c r="C4" s="22">
        <f t="array" aca="1" ref="C4" ca="1">SUM(LARGE(E4:M4,{1,2,3,4,5}))</f>
        <v>239</v>
      </c>
      <c r="D4" s="22">
        <f t="shared" ref="D4:D20" ca="1" si="3">COUNTIF(E4:M4,"&gt;"&amp;0)</f>
        <v>4</v>
      </c>
      <c r="E4" s="22">
        <f ca="1">SUMPRODUCT((Input!$K$3:$K$1000=E$2)*(Input!$N$3:$N$1000=$B4)*(Input!$AE$3:$AE$1000))</f>
        <v>60</v>
      </c>
      <c r="F4" s="22">
        <f ca="1">SUMPRODUCT((Input!$K$3:$K$1000=F$2)*(Input!$N$3:$N$1000=$B4)*(Input!$AE$3:$AE$1000))</f>
        <v>59</v>
      </c>
      <c r="G4" s="22">
        <f ca="1">SUMPRODUCT((Input!$K$3:$K$1000=G$2)*(Input!$N$3:$N$1000=$B4)*(Input!$AE$3:$AE$1000))</f>
        <v>60</v>
      </c>
      <c r="H4" s="22">
        <f ca="1">SUMPRODUCT((Input!$K$3:$K$1000=H$2)*(Input!$N$3:$N$1000=$B4)*(Input!$AE$3:$AE$1000))</f>
        <v>60</v>
      </c>
      <c r="I4" s="22">
        <f ca="1">SUMPRODUCT((Input!$K$3:$K$1000=I$2)*(Input!$N$3:$N$1000=$B4)*(Input!$AE$3:$AE$1000))</f>
        <v>0</v>
      </c>
      <c r="J4" s="22">
        <f ca="1">SUMPRODUCT((Input!$K$3:$K$1000=J$2)*(Input!$N$3:$N$1000=$B4)*(Input!$AE$3:$AE$1000))</f>
        <v>0</v>
      </c>
      <c r="K4" s="22">
        <f ca="1">SUMPRODUCT((Input!$K$3:$K$1000=K$2)*(Input!$N$3:$N$1000=$B4)*(Input!$AE$3:$AE$1000))</f>
        <v>0</v>
      </c>
      <c r="L4" s="22">
        <f ca="1">SUMPRODUCT((Input!$K$3:$K$1000=L$2)*(Input!$N$3:$N$1000=$B4)*(Input!$AE$3:$AE$1000))</f>
        <v>0</v>
      </c>
      <c r="M4" s="22"/>
    </row>
    <row r="5" spans="1:13" x14ac:dyDescent="0.2">
      <c r="A5" s="20">
        <f t="shared" ca="1" si="2"/>
        <v>2</v>
      </c>
      <c r="B5" s="21" t="s">
        <v>15</v>
      </c>
      <c r="C5" s="22">
        <f t="array" aca="1" ref="C5" ca="1">SUM(LARGE(E5:M5,{1,2,3,4,5}))</f>
        <v>174</v>
      </c>
      <c r="D5" s="22">
        <f t="shared" ca="1" si="3"/>
        <v>3</v>
      </c>
      <c r="E5" s="22">
        <f ca="1">SUMPRODUCT((Input!$K$3:$K$1000=E$2)*(Input!$N$3:$N$1000=$B5)*(Input!$AE$3:$AE$1000))</f>
        <v>0</v>
      </c>
      <c r="F5" s="22">
        <f ca="1">SUMPRODUCT((Input!$K$3:$K$1000=F$2)*(Input!$N$3:$N$1000=$B5)*(Input!$AE$3:$AE$1000))</f>
        <v>57</v>
      </c>
      <c r="G5" s="22">
        <f ca="1">SUMPRODUCT((Input!$K$3:$K$1000=G$2)*(Input!$N$3:$N$1000=$B5)*(Input!$AE$3:$AE$1000))</f>
        <v>58</v>
      </c>
      <c r="H5" s="22">
        <f ca="1">SUMPRODUCT((Input!$K$3:$K$1000=H$2)*(Input!$N$3:$N$1000=$B5)*(Input!$AE$3:$AE$1000))</f>
        <v>59</v>
      </c>
      <c r="I5" s="22">
        <f ca="1">SUMPRODUCT((Input!$K$3:$K$1000=I$2)*(Input!$N$3:$N$1000=$B5)*(Input!$AE$3:$AE$1000))</f>
        <v>0</v>
      </c>
      <c r="J5" s="22">
        <f ca="1">SUMPRODUCT((Input!$K$3:$K$1000=J$2)*(Input!$N$3:$N$1000=$B5)*(Input!$AE$3:$AE$1000))</f>
        <v>0</v>
      </c>
      <c r="K5" s="22">
        <f ca="1">SUMPRODUCT((Input!$K$3:$K$1000=K$2)*(Input!$N$3:$N$1000=$B5)*(Input!$AE$3:$AE$1000))</f>
        <v>0</v>
      </c>
      <c r="L5" s="22">
        <f ca="1">SUMPRODUCT((Input!$K$3:$K$1000=L$2)*(Input!$N$3:$N$1000=$B5)*(Input!$AE$3:$AE$1000))</f>
        <v>0</v>
      </c>
      <c r="M5" s="22"/>
    </row>
    <row r="6" spans="1:13" x14ac:dyDescent="0.2">
      <c r="A6" s="20">
        <f t="shared" ca="1" si="2"/>
        <v>3</v>
      </c>
      <c r="B6" s="21" t="s">
        <v>16</v>
      </c>
      <c r="C6" s="22">
        <f t="array" aca="1" ref="C6" ca="1">SUM(LARGE(E6:M6,{1,2,3,4,5}))</f>
        <v>168</v>
      </c>
      <c r="D6" s="22">
        <f t="shared" ca="1" si="3"/>
        <v>3</v>
      </c>
      <c r="E6" s="22">
        <f ca="1">SUMPRODUCT((Input!$K$3:$K$1000=E$2)*(Input!$N$3:$N$1000=$B6)*(Input!$AE$3:$AE$1000))</f>
        <v>56</v>
      </c>
      <c r="F6" s="22">
        <f ca="1">SUMPRODUCT((Input!$K$3:$K$1000=F$2)*(Input!$N$3:$N$1000=$B6)*(Input!$AE$3:$AE$1000))</f>
        <v>55</v>
      </c>
      <c r="G6" s="22">
        <f ca="1">SUMPRODUCT((Input!$K$3:$K$1000=G$2)*(Input!$N$3:$N$1000=$B6)*(Input!$AE$3:$AE$1000))</f>
        <v>0</v>
      </c>
      <c r="H6" s="22">
        <f ca="1">SUMPRODUCT((Input!$K$3:$K$1000=H$2)*(Input!$N$3:$N$1000=$B6)*(Input!$AE$3:$AE$1000))</f>
        <v>57</v>
      </c>
      <c r="I6" s="22">
        <f ca="1">SUMPRODUCT((Input!$K$3:$K$1000=I$2)*(Input!$N$3:$N$1000=$B6)*(Input!$AE$3:$AE$1000))</f>
        <v>0</v>
      </c>
      <c r="J6" s="22">
        <f ca="1">SUMPRODUCT((Input!$K$3:$K$1000=J$2)*(Input!$N$3:$N$1000=$B6)*(Input!$AE$3:$AE$1000))</f>
        <v>0</v>
      </c>
      <c r="K6" s="22">
        <f ca="1">SUMPRODUCT((Input!$K$3:$K$1000=K$2)*(Input!$N$3:$N$1000=$B6)*(Input!$AE$3:$AE$1000))</f>
        <v>0</v>
      </c>
      <c r="L6" s="22">
        <f ca="1">SUMPRODUCT((Input!$K$3:$K$1000=L$2)*(Input!$N$3:$N$1000=$B6)*(Input!$AE$3:$AE$1000))</f>
        <v>0</v>
      </c>
      <c r="M6" s="22"/>
    </row>
    <row r="7" spans="1:13" x14ac:dyDescent="0.2">
      <c r="A7" s="20">
        <f t="shared" ca="1" si="2"/>
        <v>4</v>
      </c>
      <c r="B7" s="21" t="s">
        <v>17</v>
      </c>
      <c r="C7" s="22">
        <f t="array" aca="1" ref="C7" ca="1">SUM(LARGE(E7:M7,{1,2,3,4,5}))</f>
        <v>165</v>
      </c>
      <c r="D7" s="22">
        <f t="shared" ca="1" si="3"/>
        <v>3</v>
      </c>
      <c r="E7" s="22">
        <f ca="1">SUMPRODUCT((Input!$K$3:$K$1000=E$2)*(Input!$N$3:$N$1000=$B7)*(Input!$AE$3:$AE$1000))</f>
        <v>55</v>
      </c>
      <c r="F7" s="22">
        <f ca="1">SUMPRODUCT((Input!$K$3:$K$1000=F$2)*(Input!$N$3:$N$1000=$B7)*(Input!$AE$3:$AE$1000))</f>
        <v>0</v>
      </c>
      <c r="G7" s="22">
        <f ca="1">SUMPRODUCT((Input!$K$3:$K$1000=G$2)*(Input!$N$3:$N$1000=$B7)*(Input!$AE$3:$AE$1000))</f>
        <v>54</v>
      </c>
      <c r="H7" s="22">
        <f ca="1">SUMPRODUCT((Input!$K$3:$K$1000=H$2)*(Input!$N$3:$N$1000=$B7)*(Input!$AE$3:$AE$1000))</f>
        <v>56</v>
      </c>
      <c r="I7" s="22">
        <f ca="1">SUMPRODUCT((Input!$K$3:$K$1000=I$2)*(Input!$N$3:$N$1000=$B7)*(Input!$AE$3:$AE$1000))</f>
        <v>0</v>
      </c>
      <c r="J7" s="22">
        <f ca="1">SUMPRODUCT((Input!$K$3:$K$1000=J$2)*(Input!$N$3:$N$1000=$B7)*(Input!$AE$3:$AE$1000))</f>
        <v>0</v>
      </c>
      <c r="K7" s="22">
        <f ca="1">SUMPRODUCT((Input!$K$3:$K$1000=K$2)*(Input!$N$3:$N$1000=$B7)*(Input!$AE$3:$AE$1000))</f>
        <v>0</v>
      </c>
      <c r="L7" s="22">
        <f ca="1">SUMPRODUCT((Input!$K$3:$K$1000=L$2)*(Input!$N$3:$N$1000=$B7)*(Input!$AE$3:$AE$1000))</f>
        <v>0</v>
      </c>
      <c r="M7" s="22"/>
    </row>
    <row r="8" spans="1:13" x14ac:dyDescent="0.2">
      <c r="A8" s="20">
        <f t="shared" ca="1" si="2"/>
        <v>5</v>
      </c>
      <c r="B8" s="23" t="s">
        <v>18</v>
      </c>
      <c r="C8" s="22">
        <f t="array" aca="1" ref="C8" ca="1">SUM(LARGE(E8:M8,{1,2,3,4,5}))</f>
        <v>162</v>
      </c>
      <c r="D8" s="22">
        <f t="shared" ca="1" si="3"/>
        <v>3</v>
      </c>
      <c r="E8" s="22">
        <f ca="1">SUMPRODUCT((Input!$K$3:$K$1000=E$2)*(Input!$N$3:$N$1000=$B8)*(Input!$AE$3:$AE$1000))</f>
        <v>0</v>
      </c>
      <c r="F8" s="22">
        <f ca="1">SUMPRODUCT((Input!$K$3:$K$1000=F$2)*(Input!$N$3:$N$1000=$B8)*(Input!$AE$3:$AE$1000))</f>
        <v>54</v>
      </c>
      <c r="G8" s="22">
        <f ca="1">SUMPRODUCT((Input!$K$3:$K$1000=G$2)*(Input!$N$3:$N$1000=$B8)*(Input!$AE$3:$AE$1000))</f>
        <v>53</v>
      </c>
      <c r="H8" s="22">
        <f ca="1">SUMPRODUCT((Input!$K$3:$K$1000=H$2)*(Input!$N$3:$N$1000=$B8)*(Input!$AE$3:$AE$1000))</f>
        <v>55</v>
      </c>
      <c r="I8" s="22">
        <f ca="1">SUMPRODUCT((Input!$K$3:$K$1000=I$2)*(Input!$N$3:$N$1000=$B8)*(Input!$AE$3:$AE$1000))</f>
        <v>0</v>
      </c>
      <c r="J8" s="22">
        <f ca="1">SUMPRODUCT((Input!$K$3:$K$1000=J$2)*(Input!$N$3:$N$1000=$B8)*(Input!$AE$3:$AE$1000))</f>
        <v>0</v>
      </c>
      <c r="K8" s="22">
        <f ca="1">SUMPRODUCT((Input!$K$3:$K$1000=K$2)*(Input!$N$3:$N$1000=$B8)*(Input!$AE$3:$AE$1000))</f>
        <v>0</v>
      </c>
      <c r="L8" s="22">
        <f ca="1">SUMPRODUCT((Input!$K$3:$K$1000=L$2)*(Input!$N$3:$N$1000=$B8)*(Input!$AE$3:$AE$1000))</f>
        <v>0</v>
      </c>
      <c r="M8" s="22"/>
    </row>
    <row r="9" spans="1:13" x14ac:dyDescent="0.2">
      <c r="A9" s="20">
        <f t="shared" ca="1" si="2"/>
        <v>6</v>
      </c>
      <c r="B9" s="21" t="s">
        <v>21</v>
      </c>
      <c r="C9" s="22">
        <f t="array" aca="1" ref="C9" ca="1">SUM(LARGE(E9:M9,{1,2,3,4,5}))</f>
        <v>115</v>
      </c>
      <c r="D9" s="22">
        <f t="shared" ca="1" si="3"/>
        <v>2</v>
      </c>
      <c r="E9" s="22">
        <f ca="1">SUMPRODUCT((Input!$K$3:$K$1000=E$2)*(Input!$N$3:$N$1000=$B9)*(Input!$AE$3:$AE$1000))</f>
        <v>0</v>
      </c>
      <c r="F9" s="22">
        <f ca="1">SUMPRODUCT((Input!$K$3:$K$1000=F$2)*(Input!$N$3:$N$1000=$B9)*(Input!$AE$3:$AE$1000))</f>
        <v>58</v>
      </c>
      <c r="G9" s="22">
        <f ca="1">SUMPRODUCT((Input!$K$3:$K$1000=G$2)*(Input!$N$3:$N$1000=$B9)*(Input!$AE$3:$AE$1000))</f>
        <v>57</v>
      </c>
      <c r="H9" s="22">
        <f ca="1">SUMPRODUCT((Input!$K$3:$K$1000=H$2)*(Input!$N$3:$N$1000=$B9)*(Input!$AE$3:$AE$1000))</f>
        <v>0</v>
      </c>
      <c r="I9" s="22">
        <f ca="1">SUMPRODUCT((Input!$K$3:$K$1000=I$2)*(Input!$N$3:$N$1000=$B9)*(Input!$AE$3:$AE$1000))</f>
        <v>0</v>
      </c>
      <c r="J9" s="22">
        <f ca="1">SUMPRODUCT((Input!$K$3:$K$1000=J$2)*(Input!$N$3:$N$1000=$B9)*(Input!$AE$3:$AE$1000))</f>
        <v>0</v>
      </c>
      <c r="K9" s="22">
        <f ca="1">SUMPRODUCT((Input!$K$3:$K$1000=K$2)*(Input!$N$3:$N$1000=$B9)*(Input!$AE$3:$AE$1000))</f>
        <v>0</v>
      </c>
      <c r="L9" s="22">
        <f ca="1">SUMPRODUCT((Input!$K$3:$K$1000=L$2)*(Input!$N$3:$N$1000=$B9)*(Input!$AE$3:$AE$1000))</f>
        <v>0</v>
      </c>
      <c r="M9" s="22"/>
    </row>
    <row r="10" spans="1:13" x14ac:dyDescent="0.2">
      <c r="A10" s="20">
        <f t="shared" ca="1" si="2"/>
        <v>7</v>
      </c>
      <c r="B10" s="21" t="s">
        <v>22</v>
      </c>
      <c r="C10" s="22">
        <f t="array" aca="1" ref="C10" ca="1">SUM(LARGE(E10:M10,{1,2,3,4,5}))</f>
        <v>114</v>
      </c>
      <c r="D10" s="22">
        <f t="shared" ca="1" si="3"/>
        <v>2</v>
      </c>
      <c r="E10" s="22">
        <f ca="1">SUMPRODUCT((Input!$K$3:$K$1000=E$2)*(Input!$N$3:$N$1000=$B10)*(Input!$AE$3:$AE$1000))</f>
        <v>0</v>
      </c>
      <c r="F10" s="22">
        <f ca="1">SUMPRODUCT((Input!$K$3:$K$1000=F$2)*(Input!$N$3:$N$1000=$B10)*(Input!$AE$3:$AE$1000))</f>
        <v>0</v>
      </c>
      <c r="G10" s="22">
        <f ca="1">SUMPRODUCT((Input!$K$3:$K$1000=G$2)*(Input!$N$3:$N$1000=$B10)*(Input!$AE$3:$AE$1000))</f>
        <v>56</v>
      </c>
      <c r="H10" s="22">
        <f ca="1">SUMPRODUCT((Input!$K$3:$K$1000=H$2)*(Input!$N$3:$N$1000=$B10)*(Input!$AE$3:$AE$1000))</f>
        <v>58</v>
      </c>
      <c r="I10" s="22">
        <f ca="1">SUMPRODUCT((Input!$K$3:$K$1000=I$2)*(Input!$N$3:$N$1000=$B10)*(Input!$AE$3:$AE$1000))</f>
        <v>0</v>
      </c>
      <c r="J10" s="22">
        <f ca="1">SUMPRODUCT((Input!$K$3:$K$1000=J$2)*(Input!$N$3:$N$1000=$B10)*(Input!$AE$3:$AE$1000))</f>
        <v>0</v>
      </c>
      <c r="K10" s="22">
        <f ca="1">SUMPRODUCT((Input!$K$3:$K$1000=K$2)*(Input!$N$3:$N$1000=$B10)*(Input!$AE$3:$AE$1000))</f>
        <v>0</v>
      </c>
      <c r="L10" s="22">
        <f ca="1">SUMPRODUCT((Input!$K$3:$K$1000=L$2)*(Input!$N$3:$N$1000=$B10)*(Input!$AE$3:$AE$1000))</f>
        <v>0</v>
      </c>
      <c r="M10" s="22"/>
    </row>
    <row r="11" spans="1:13" x14ac:dyDescent="0.2">
      <c r="A11" s="20">
        <f t="shared" ca="1" si="2"/>
        <v>8</v>
      </c>
      <c r="B11" s="23" t="s">
        <v>23</v>
      </c>
      <c r="C11" s="22">
        <f t="array" aca="1" ref="C11" ca="1">SUM(LARGE(E11:M11,{1,2,3,4,5}))</f>
        <v>112</v>
      </c>
      <c r="D11" s="22">
        <f t="shared" ca="1" si="3"/>
        <v>2</v>
      </c>
      <c r="E11" s="22">
        <f ca="1">SUMPRODUCT((Input!$K$3:$K$1000=E$2)*(Input!$N$3:$N$1000=$B11)*(Input!$AE$3:$AE$1000))</f>
        <v>57</v>
      </c>
      <c r="F11" s="22">
        <f ca="1">SUMPRODUCT((Input!$K$3:$K$1000=F$2)*(Input!$N$3:$N$1000=$B11)*(Input!$AE$3:$AE$1000))</f>
        <v>0</v>
      </c>
      <c r="G11" s="22">
        <f ca="1">SUMPRODUCT((Input!$K$3:$K$1000=G$2)*(Input!$N$3:$N$1000=$B11)*(Input!$AE$3:$AE$1000))</f>
        <v>55</v>
      </c>
      <c r="H11" s="22">
        <f ca="1">SUMPRODUCT((Input!$K$3:$K$1000=H$2)*(Input!$N$3:$N$1000=$B11)*(Input!$AE$3:$AE$1000))</f>
        <v>0</v>
      </c>
      <c r="I11" s="22">
        <f ca="1">SUMPRODUCT((Input!$K$3:$K$1000=I$2)*(Input!$N$3:$N$1000=$B11)*(Input!$AE$3:$AE$1000))</f>
        <v>0</v>
      </c>
      <c r="J11" s="22">
        <f ca="1">SUMPRODUCT((Input!$K$3:$K$1000=J$2)*(Input!$N$3:$N$1000=$B11)*(Input!$AE$3:$AE$1000))</f>
        <v>0</v>
      </c>
      <c r="K11" s="22">
        <f ca="1">SUMPRODUCT((Input!$K$3:$K$1000=K$2)*(Input!$N$3:$N$1000=$B11)*(Input!$AE$3:$AE$1000))</f>
        <v>0</v>
      </c>
      <c r="L11" s="22">
        <f ca="1">SUMPRODUCT((Input!$K$3:$K$1000=L$2)*(Input!$N$3:$N$1000=$B11)*(Input!$AE$3:$AE$1000))</f>
        <v>0</v>
      </c>
      <c r="M11" s="22"/>
    </row>
    <row r="12" spans="1:13" x14ac:dyDescent="0.2">
      <c r="A12" s="20">
        <f t="shared" ca="1" si="2"/>
        <v>9</v>
      </c>
      <c r="B12" s="21" t="s">
        <v>24</v>
      </c>
      <c r="C12" s="22">
        <f t="array" aca="1" ref="C12" ca="1">SUM(LARGE(E12:M12,{1,2,3,4,5}))</f>
        <v>105</v>
      </c>
      <c r="D12" s="22">
        <f t="shared" ca="1" si="3"/>
        <v>2</v>
      </c>
      <c r="E12" s="22">
        <f ca="1">SUMPRODUCT((Input!$K$3:$K$1000=E$2)*(Input!$N$3:$N$1000=$B12)*(Input!$AE$3:$AE$1000))</f>
        <v>0</v>
      </c>
      <c r="F12" s="22">
        <f ca="1">SUMPRODUCT((Input!$K$3:$K$1000=F$2)*(Input!$N$3:$N$1000=$B12)*(Input!$AE$3:$AE$1000))</f>
        <v>0</v>
      </c>
      <c r="G12" s="22">
        <f ca="1">SUMPRODUCT((Input!$K$3:$K$1000=G$2)*(Input!$N$3:$N$1000=$B12)*(Input!$AE$3:$AE$1000))</f>
        <v>51</v>
      </c>
      <c r="H12" s="22">
        <f ca="1">SUMPRODUCT((Input!$K$3:$K$1000=H$2)*(Input!$N$3:$N$1000=$B12)*(Input!$AE$3:$AE$1000))</f>
        <v>54</v>
      </c>
      <c r="I12" s="22">
        <f ca="1">SUMPRODUCT((Input!$K$3:$K$1000=I$2)*(Input!$N$3:$N$1000=$B12)*(Input!$AE$3:$AE$1000))</f>
        <v>0</v>
      </c>
      <c r="J12" s="22">
        <f ca="1">SUMPRODUCT((Input!$K$3:$K$1000=J$2)*(Input!$N$3:$N$1000=$B12)*(Input!$AE$3:$AE$1000))</f>
        <v>0</v>
      </c>
      <c r="K12" s="22">
        <f ca="1">SUMPRODUCT((Input!$K$3:$K$1000=K$2)*(Input!$N$3:$N$1000=$B12)*(Input!$AE$3:$AE$1000))</f>
        <v>0</v>
      </c>
      <c r="L12" s="22">
        <f ca="1">SUMPRODUCT((Input!$K$3:$K$1000=L$2)*(Input!$N$3:$N$1000=$B12)*(Input!$AE$3:$AE$1000))</f>
        <v>0</v>
      </c>
      <c r="M12" s="22"/>
    </row>
    <row r="13" spans="1:13" x14ac:dyDescent="0.2">
      <c r="A13" s="20">
        <f t="shared" ca="1" si="2"/>
        <v>10</v>
      </c>
      <c r="B13" s="21" t="s">
        <v>25</v>
      </c>
      <c r="C13" s="22">
        <f t="array" aca="1" ref="C13" ca="1">SUM(LARGE(E13:M13,{1,2,3,4,5}))</f>
        <v>60</v>
      </c>
      <c r="D13" s="22">
        <f t="shared" ca="1" si="3"/>
        <v>1</v>
      </c>
      <c r="E13" s="22">
        <f ca="1">SUMPRODUCT((Input!$K$3:$K$1000=E$2)*(Input!$N$3:$N$1000=$B13)*(Input!$AE$3:$AE$1000))</f>
        <v>0</v>
      </c>
      <c r="F13" s="22">
        <f ca="1">SUMPRODUCT((Input!$K$3:$K$1000=F$2)*(Input!$N$3:$N$1000=$B13)*(Input!$AE$3:$AE$1000))</f>
        <v>60</v>
      </c>
      <c r="G13" s="22">
        <f ca="1">SUMPRODUCT((Input!$K$3:$K$1000=G$2)*(Input!$N$3:$N$1000=$B13)*(Input!$AE$3:$AE$1000))</f>
        <v>0</v>
      </c>
      <c r="H13" s="22">
        <f ca="1">SUMPRODUCT((Input!$K$3:$K$1000=H$2)*(Input!$N$3:$N$1000=$B13)*(Input!$AE$3:$AE$1000))</f>
        <v>0</v>
      </c>
      <c r="I13" s="22">
        <f ca="1">SUMPRODUCT((Input!$K$3:$K$1000=I$2)*(Input!$N$3:$N$1000=$B13)*(Input!$AE$3:$AE$1000))</f>
        <v>0</v>
      </c>
      <c r="J13" s="22">
        <f ca="1">SUMPRODUCT((Input!$K$3:$K$1000=J$2)*(Input!$N$3:$N$1000=$B13)*(Input!$AE$3:$AE$1000))</f>
        <v>0</v>
      </c>
      <c r="K13" s="22">
        <f ca="1">SUMPRODUCT((Input!$K$3:$K$1000=K$2)*(Input!$N$3:$N$1000=$B13)*(Input!$AE$3:$AE$1000))</f>
        <v>0</v>
      </c>
      <c r="L13" s="22">
        <f ca="1">SUMPRODUCT((Input!$K$3:$K$1000=L$2)*(Input!$N$3:$N$1000=$B13)*(Input!$AE$3:$AE$1000))</f>
        <v>0</v>
      </c>
      <c r="M13" s="22"/>
    </row>
    <row r="14" spans="1:13" x14ac:dyDescent="0.2">
      <c r="A14" s="20">
        <f t="shared" ca="1" si="2"/>
        <v>11</v>
      </c>
      <c r="B14" s="21" t="s">
        <v>20</v>
      </c>
      <c r="C14" s="22">
        <f t="array" aca="1" ref="C14" ca="1">SUM(LARGE(E14:M14,{1,2,3,4,5}))</f>
        <v>59</v>
      </c>
      <c r="D14" s="22">
        <f t="shared" ca="1" si="3"/>
        <v>1</v>
      </c>
      <c r="E14" s="22">
        <f ca="1">SUMPRODUCT((Input!$K$3:$K$1000=E$2)*(Input!$N$3:$N$1000=$B14)*(Input!$AE$3:$AE$1000))</f>
        <v>59</v>
      </c>
      <c r="F14" s="22">
        <f ca="1">SUMPRODUCT((Input!$K$3:$K$1000=F$2)*(Input!$N$3:$N$1000=$B14)*(Input!$AE$3:$AE$1000))</f>
        <v>0</v>
      </c>
      <c r="G14" s="22">
        <f ca="1">SUMPRODUCT((Input!$K$3:$K$1000=G$2)*(Input!$N$3:$N$1000=$B14)*(Input!$AE$3:$AE$1000))</f>
        <v>0</v>
      </c>
      <c r="H14" s="22">
        <f ca="1">SUMPRODUCT((Input!$K$3:$K$1000=H$2)*(Input!$N$3:$N$1000=$B14)*(Input!$AE$3:$AE$1000))</f>
        <v>0</v>
      </c>
      <c r="I14" s="22">
        <f ca="1">SUMPRODUCT((Input!$K$3:$K$1000=I$2)*(Input!$N$3:$N$1000=$B14)*(Input!$AE$3:$AE$1000))</f>
        <v>0</v>
      </c>
      <c r="J14" s="22">
        <f ca="1">SUMPRODUCT((Input!$K$3:$K$1000=J$2)*(Input!$N$3:$N$1000=$B14)*(Input!$AE$3:$AE$1000))</f>
        <v>0</v>
      </c>
      <c r="K14" s="22">
        <f ca="1">SUMPRODUCT((Input!$K$3:$K$1000=K$2)*(Input!$N$3:$N$1000=$B14)*(Input!$AE$3:$AE$1000))</f>
        <v>0</v>
      </c>
      <c r="L14" s="22">
        <f ca="1">SUMPRODUCT((Input!$K$3:$K$1000=L$2)*(Input!$N$3:$N$1000=$B14)*(Input!$AE$3:$AE$1000))</f>
        <v>0</v>
      </c>
      <c r="M14" s="22"/>
    </row>
    <row r="15" spans="1:13" x14ac:dyDescent="0.2">
      <c r="A15" s="20">
        <f t="shared" ca="1" si="2"/>
        <v>11</v>
      </c>
      <c r="B15" s="21" t="s">
        <v>29</v>
      </c>
      <c r="C15" s="22">
        <f t="array" aca="1" ref="C15" ca="1">SUM(LARGE(E15:M15,{1,2,3,4,5}))</f>
        <v>59</v>
      </c>
      <c r="D15" s="22">
        <f t="shared" ca="1" si="3"/>
        <v>1</v>
      </c>
      <c r="E15" s="22">
        <f ca="1">SUMPRODUCT((Input!$K$3:$K$1000=E$2)*(Input!$N$3:$N$1000=$B15)*(Input!$AE$3:$AE$1000))</f>
        <v>0</v>
      </c>
      <c r="F15" s="22">
        <f ca="1">SUMPRODUCT((Input!$K$3:$K$1000=F$2)*(Input!$N$3:$N$1000=$B15)*(Input!$AE$3:$AE$1000))</f>
        <v>0</v>
      </c>
      <c r="G15" s="22">
        <f ca="1">SUMPRODUCT((Input!$K$3:$K$1000=G$2)*(Input!$N$3:$N$1000=$B15)*(Input!$AE$3:$AE$1000))</f>
        <v>59</v>
      </c>
      <c r="H15" s="22">
        <f ca="1">SUMPRODUCT((Input!$K$3:$K$1000=H$2)*(Input!$N$3:$N$1000=$B15)*(Input!$AE$3:$AE$1000))</f>
        <v>0</v>
      </c>
      <c r="I15" s="22">
        <f ca="1">SUMPRODUCT((Input!$K$3:$K$1000=I$2)*(Input!$N$3:$N$1000=$B15)*(Input!$AE$3:$AE$1000))</f>
        <v>0</v>
      </c>
      <c r="J15" s="22">
        <f ca="1">SUMPRODUCT((Input!$K$3:$K$1000=J$2)*(Input!$N$3:$N$1000=$B15)*(Input!$AE$3:$AE$1000))</f>
        <v>0</v>
      </c>
      <c r="K15" s="22">
        <f ca="1">SUMPRODUCT((Input!$K$3:$K$1000=K$2)*(Input!$N$3:$N$1000=$B15)*(Input!$AE$3:$AE$1000))</f>
        <v>0</v>
      </c>
      <c r="L15" s="22">
        <f ca="1">SUMPRODUCT((Input!$K$3:$K$1000=L$2)*(Input!$N$3:$N$1000=$B15)*(Input!$AE$3:$AE$1000))</f>
        <v>0</v>
      </c>
      <c r="M15" s="22"/>
    </row>
    <row r="16" spans="1:13" x14ac:dyDescent="0.2">
      <c r="A16" s="20">
        <f t="shared" ca="1" si="2"/>
        <v>13</v>
      </c>
      <c r="B16" s="23" t="s">
        <v>28</v>
      </c>
      <c r="C16" s="22">
        <f t="array" aca="1" ref="C16" ca="1">SUM(LARGE(E16:M16,{1,2,3,4,5}))</f>
        <v>58</v>
      </c>
      <c r="D16" s="22">
        <f t="shared" ca="1" si="3"/>
        <v>1</v>
      </c>
      <c r="E16" s="22">
        <f ca="1">SUMPRODUCT((Input!$K$3:$K$1000=E$2)*(Input!$N$3:$N$1000=$B16)*(Input!$AE$3:$AE$1000))</f>
        <v>58</v>
      </c>
      <c r="F16" s="22">
        <f ca="1">SUMPRODUCT((Input!$K$3:$K$1000=F$2)*(Input!$N$3:$N$1000=$B16)*(Input!$AE$3:$AE$1000))</f>
        <v>0</v>
      </c>
      <c r="G16" s="22">
        <f ca="1">SUMPRODUCT((Input!$K$3:$K$1000=G$2)*(Input!$N$3:$N$1000=$B16)*(Input!$AE$3:$AE$1000))</f>
        <v>0</v>
      </c>
      <c r="H16" s="22">
        <f ca="1">SUMPRODUCT((Input!$K$3:$K$1000=H$2)*(Input!$N$3:$N$1000=$B16)*(Input!$AE$3:$AE$1000))</f>
        <v>0</v>
      </c>
      <c r="I16" s="22">
        <f ca="1">SUMPRODUCT((Input!$K$3:$K$1000=I$2)*(Input!$N$3:$N$1000=$B16)*(Input!$AE$3:$AE$1000))</f>
        <v>0</v>
      </c>
      <c r="J16" s="22">
        <f ca="1">SUMPRODUCT((Input!$K$3:$K$1000=J$2)*(Input!$N$3:$N$1000=$B16)*(Input!$AE$3:$AE$1000))</f>
        <v>0</v>
      </c>
      <c r="K16" s="22">
        <f ca="1">SUMPRODUCT((Input!$K$3:$K$1000=K$2)*(Input!$N$3:$N$1000=$B16)*(Input!$AE$3:$AE$1000))</f>
        <v>0</v>
      </c>
      <c r="L16" s="22">
        <f ca="1">SUMPRODUCT((Input!$K$3:$K$1000=L$2)*(Input!$N$3:$N$1000=$B16)*(Input!$AE$3:$AE$1000))</f>
        <v>0</v>
      </c>
      <c r="M16" s="22"/>
    </row>
    <row r="17" spans="1:13" x14ac:dyDescent="0.2">
      <c r="A17" s="20">
        <f t="shared" ca="1" si="2"/>
        <v>14</v>
      </c>
      <c r="B17" s="21" t="s">
        <v>30</v>
      </c>
      <c r="C17" s="22">
        <f t="array" aca="1" ref="C17" ca="1">SUM(LARGE(E17:M17,{1,2,3,4,5}))</f>
        <v>56</v>
      </c>
      <c r="D17" s="22">
        <f t="shared" ca="1" si="3"/>
        <v>1</v>
      </c>
      <c r="E17" s="22">
        <f ca="1">SUMPRODUCT((Input!$K$3:$K$1000=E$2)*(Input!$N$3:$N$1000=$B17)*(Input!$AE$3:$AE$1000))</f>
        <v>0</v>
      </c>
      <c r="F17" s="22">
        <f ca="1">SUMPRODUCT((Input!$K$3:$K$1000=F$2)*(Input!$N$3:$N$1000=$B17)*(Input!$AE$3:$AE$1000))</f>
        <v>56</v>
      </c>
      <c r="G17" s="22">
        <f ca="1">SUMPRODUCT((Input!$K$3:$K$1000=G$2)*(Input!$N$3:$N$1000=$B17)*(Input!$AE$3:$AE$1000))</f>
        <v>0</v>
      </c>
      <c r="H17" s="22">
        <f ca="1">SUMPRODUCT((Input!$K$3:$K$1000=H$2)*(Input!$N$3:$N$1000=$B17)*(Input!$AE$3:$AE$1000))</f>
        <v>0</v>
      </c>
      <c r="I17" s="22">
        <f ca="1">SUMPRODUCT((Input!$K$3:$K$1000=I$2)*(Input!$N$3:$N$1000=$B17)*(Input!$AE$3:$AE$1000))</f>
        <v>0</v>
      </c>
      <c r="J17" s="22">
        <f ca="1">SUMPRODUCT((Input!$K$3:$K$1000=J$2)*(Input!$N$3:$N$1000=$B17)*(Input!$AE$3:$AE$1000))</f>
        <v>0</v>
      </c>
      <c r="K17" s="22">
        <f ca="1">SUMPRODUCT((Input!$K$3:$K$1000=K$2)*(Input!$N$3:$N$1000=$B17)*(Input!$AE$3:$AE$1000))</f>
        <v>0</v>
      </c>
      <c r="L17" s="22">
        <f ca="1">SUMPRODUCT((Input!$K$3:$K$1000=L$2)*(Input!$N$3:$N$1000=$B17)*(Input!$AE$3:$AE$1000))</f>
        <v>0</v>
      </c>
      <c r="M17" s="22"/>
    </row>
    <row r="18" spans="1:13" x14ac:dyDescent="0.2">
      <c r="A18" s="20">
        <f t="shared" ca="1" si="2"/>
        <v>15</v>
      </c>
      <c r="B18" s="21" t="s">
        <v>31</v>
      </c>
      <c r="C18" s="22">
        <f t="array" aca="1" ref="C18" ca="1">SUM(LARGE(E18:M18,{1,2,3,4,5}))</f>
        <v>54</v>
      </c>
      <c r="D18" s="22">
        <f t="shared" ca="1" si="3"/>
        <v>1</v>
      </c>
      <c r="E18" s="22">
        <f ca="1">SUMPRODUCT((Input!$K$3:$K$1000=E$2)*(Input!$N$3:$N$1000=$B18)*(Input!$AE$3:$AE$1000))</f>
        <v>54</v>
      </c>
      <c r="F18" s="22">
        <f ca="1">SUMPRODUCT((Input!$K$3:$K$1000=F$2)*(Input!$N$3:$N$1000=$B18)*(Input!$AE$3:$AE$1000))</f>
        <v>0</v>
      </c>
      <c r="G18" s="22">
        <f ca="1">SUMPRODUCT((Input!$K$3:$K$1000=G$2)*(Input!$N$3:$N$1000=$B18)*(Input!$AE$3:$AE$1000))</f>
        <v>0</v>
      </c>
      <c r="H18" s="22">
        <f ca="1">SUMPRODUCT((Input!$K$3:$K$1000=H$2)*(Input!$N$3:$N$1000=$B18)*(Input!$AE$3:$AE$1000))</f>
        <v>0</v>
      </c>
      <c r="I18" s="22">
        <f ca="1">SUMPRODUCT((Input!$K$3:$K$1000=I$2)*(Input!$N$3:$N$1000=$B18)*(Input!$AE$3:$AE$1000))</f>
        <v>0</v>
      </c>
      <c r="J18" s="22">
        <f ca="1">SUMPRODUCT((Input!$K$3:$K$1000=J$2)*(Input!$N$3:$N$1000=$B18)*(Input!$AE$3:$AE$1000))</f>
        <v>0</v>
      </c>
      <c r="K18" s="22">
        <f ca="1">SUMPRODUCT((Input!$K$3:$K$1000=K$2)*(Input!$N$3:$N$1000=$B18)*(Input!$AE$3:$AE$1000))</f>
        <v>0</v>
      </c>
      <c r="L18" s="22">
        <f ca="1">SUMPRODUCT((Input!$K$3:$K$1000=L$2)*(Input!$N$3:$N$1000=$B18)*(Input!$AE$3:$AE$1000))</f>
        <v>0</v>
      </c>
      <c r="M18" s="22"/>
    </row>
    <row r="19" spans="1:13" x14ac:dyDescent="0.2">
      <c r="A19" s="20">
        <f t="shared" ca="1" si="2"/>
        <v>16</v>
      </c>
      <c r="B19" s="21" t="s">
        <v>32</v>
      </c>
      <c r="C19" s="22">
        <f t="array" aca="1" ref="C19" ca="1">SUM(LARGE(E19:M19,{1,2,3,4,5}))</f>
        <v>52</v>
      </c>
      <c r="D19" s="22">
        <f t="shared" ca="1" si="3"/>
        <v>1</v>
      </c>
      <c r="E19" s="22">
        <f ca="1">SUMPRODUCT((Input!$K$3:$K$1000=E$2)*(Input!$N$3:$N$1000=$B19)*(Input!$AE$3:$AE$1000))</f>
        <v>0</v>
      </c>
      <c r="F19" s="22">
        <f ca="1">SUMPRODUCT((Input!$K$3:$K$1000=F$2)*(Input!$N$3:$N$1000=$B19)*(Input!$AE$3:$AE$1000))</f>
        <v>0</v>
      </c>
      <c r="G19" s="22">
        <f ca="1">SUMPRODUCT((Input!$K$3:$K$1000=G$2)*(Input!$N$3:$N$1000=$B19)*(Input!$AE$3:$AE$1000))</f>
        <v>52</v>
      </c>
      <c r="H19" s="22">
        <f ca="1">SUMPRODUCT((Input!$K$3:$K$1000=H$2)*(Input!$N$3:$N$1000=$B19)*(Input!$AE$3:$AE$1000))</f>
        <v>0</v>
      </c>
      <c r="I19" s="22">
        <f ca="1">SUMPRODUCT((Input!$K$3:$K$1000=I$2)*(Input!$N$3:$N$1000=$B19)*(Input!$AE$3:$AE$1000))</f>
        <v>0</v>
      </c>
      <c r="J19" s="22">
        <f ca="1">SUMPRODUCT((Input!$K$3:$K$1000=J$2)*(Input!$N$3:$N$1000=$B19)*(Input!$AE$3:$AE$1000))</f>
        <v>0</v>
      </c>
      <c r="K19" s="22">
        <f ca="1">SUMPRODUCT((Input!$K$3:$K$1000=K$2)*(Input!$N$3:$N$1000=$B19)*(Input!$AE$3:$AE$1000))</f>
        <v>0</v>
      </c>
      <c r="L19" s="22">
        <f ca="1">SUMPRODUCT((Input!$K$3:$K$1000=L$2)*(Input!$N$3:$N$1000=$B19)*(Input!$AE$3:$AE$1000))</f>
        <v>0</v>
      </c>
      <c r="M19" s="22"/>
    </row>
    <row r="20" spans="1:13" x14ac:dyDescent="0.2">
      <c r="A20" s="20">
        <f t="shared" ca="1" si="2"/>
        <v>17</v>
      </c>
      <c r="B20" s="21"/>
      <c r="C20" s="22">
        <f t="array" aca="1" ref="C20" ca="1">SUM(LARGE(E20:M20,{1,2,3,4,5}))</f>
        <v>0</v>
      </c>
      <c r="D20" s="22">
        <f t="shared" ca="1" si="3"/>
        <v>0</v>
      </c>
      <c r="E20" s="22">
        <f ca="1">SUMPRODUCT((Input!$K$3:$K$1000=E$2)*(Input!$N$3:$N$1000=$B20)*(Input!$AE$3:$AE$1000))</f>
        <v>0</v>
      </c>
      <c r="F20" s="22">
        <f ca="1">SUMPRODUCT((Input!$K$3:$K$1000=F$2)*(Input!$N$3:$N$1000=$B20)*(Input!$AE$3:$AE$1000))</f>
        <v>0</v>
      </c>
      <c r="G20" s="22">
        <f ca="1">SUMPRODUCT((Input!$K$3:$K$1000=G$2)*(Input!$N$3:$N$1000=$B20)*(Input!$AE$3:$AE$1000))</f>
        <v>0</v>
      </c>
      <c r="H20" s="22">
        <f ca="1">SUMPRODUCT((Input!$K$3:$K$1000=H$2)*(Input!$N$3:$N$1000=$B20)*(Input!$AE$3:$AE$1000))</f>
        <v>0</v>
      </c>
      <c r="I20" s="22">
        <f ca="1">SUMPRODUCT((Input!$K$3:$K$1000=I$2)*(Input!$N$3:$N$1000=$B20)*(Input!$AE$3:$AE$1000))</f>
        <v>0</v>
      </c>
      <c r="J20" s="22">
        <f ca="1">SUMPRODUCT((Input!$K$3:$K$1000=J$2)*(Input!$N$3:$N$1000=$B20)*(Input!$AE$3:$AE$1000))</f>
        <v>0</v>
      </c>
      <c r="K20" s="22">
        <f ca="1">SUMPRODUCT((Input!$K$3:$K$1000=K$2)*(Input!$N$3:$N$1000=$B20)*(Input!$AE$3:$AE$1000))</f>
        <v>0</v>
      </c>
      <c r="L20" s="22">
        <f ca="1">SUMPRODUCT((Input!$K$3:$K$1000=L$2)*(Input!$N$3:$N$1000=$B20)*(Input!$AE$3:$AE$1000))</f>
        <v>0</v>
      </c>
      <c r="M20" s="22"/>
    </row>
    <row r="21" spans="1:13" x14ac:dyDescent="0.2">
      <c r="A21" s="20"/>
      <c r="B21" s="23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20"/>
      <c r="B22" s="23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20"/>
      <c r="B23" s="23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20"/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20"/>
      <c r="B25" s="21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20"/>
      <c r="B26" s="23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20"/>
      <c r="B27" s="23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20"/>
      <c r="B28" s="23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20"/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</row>
  </sheetData>
  <conditionalFormatting sqref="A1:M30">
    <cfRule type="cellIs" dxfId="10" priority="2" operator="equal">
      <formula>0</formula>
    </cfRule>
  </conditionalFormatting>
  <conditionalFormatting sqref="E4:M29">
    <cfRule type="expression" dxfId="9" priority="1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29"/>
  <sheetViews>
    <sheetView workbookViewId="0">
      <pane ySplit="3" topLeftCell="A4" activePane="bottomLeft" state="frozen"/>
      <selection pane="bottomLeft" activeCell="A4" sqref="A4"/>
    </sheetView>
  </sheetViews>
  <sheetFormatPr defaultColWidth="12.5703125" defaultRowHeight="15.75" customHeight="1" x14ac:dyDescent="0.2"/>
  <cols>
    <col min="1" max="1" width="27.85546875" bestFit="1" customWidth="1"/>
    <col min="2" max="2" width="17.85546875" bestFit="1" customWidth="1"/>
    <col min="3" max="3" width="5.5703125" bestFit="1" customWidth="1"/>
    <col min="4" max="4" width="15.140625" bestFit="1" customWidth="1"/>
    <col min="5" max="8" width="9.42578125" bestFit="1" customWidth="1"/>
    <col min="9" max="12" width="9.7109375" bestFit="1" customWidth="1"/>
    <col min="13" max="13" width="8.7109375" customWidth="1"/>
  </cols>
  <sheetData>
    <row r="1" spans="1:13" ht="15.75" customHeight="1" x14ac:dyDescent="0.4">
      <c r="A1" s="11" t="s">
        <v>35</v>
      </c>
      <c r="B1" s="11"/>
      <c r="C1" s="12">
        <v>5</v>
      </c>
      <c r="D1" s="11" t="s">
        <v>8</v>
      </c>
      <c r="E1" s="13"/>
      <c r="F1" s="14">
        <f ca="1">COUNTIF(C4:C100,"&gt;"&amp;0)+3</f>
        <v>22</v>
      </c>
      <c r="G1" s="16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22" ca="1" si="2">RANK(C4,$C$4:$C$40)</f>
        <v>1</v>
      </c>
      <c r="B4" s="21" t="s">
        <v>13</v>
      </c>
      <c r="C4" s="22">
        <f t="array" aca="1" ref="C4" ca="1">SUM(LARGE(E4:M4,{1,2,3,4,5}))</f>
        <v>227</v>
      </c>
      <c r="D4" s="22">
        <f t="shared" ref="D4:D22" ca="1" si="3">COUNTIF(E4:M4,"&gt;"&amp;0)</f>
        <v>4</v>
      </c>
      <c r="E4" s="22">
        <f ca="1">SUMPRODUCT((Input!$K$3:$K$1000=E$2)*(Input!$N$3:$N$1000=$B4)*(Input!$X$3:$X$1000))</f>
        <v>58</v>
      </c>
      <c r="F4" s="22">
        <f ca="1">SUMPRODUCT((Input!$K$3:$K$1000=F$2)*(Input!$N$3:$N$1000=$B4)*(Input!$X$3:$X$1000))</f>
        <v>56</v>
      </c>
      <c r="G4" s="22">
        <f ca="1">SUMPRODUCT((Input!$K$3:$K$1000=G$2)*(Input!$N$3:$N$1000=$B4)*(Input!$X$3:$X$1000))</f>
        <v>56</v>
      </c>
      <c r="H4" s="22">
        <f ca="1">SUMPRODUCT((Input!$K$3:$K$1000=H$2)*(Input!$N$3:$N$1000=$B4)*(Input!$X$3:$X$1000))</f>
        <v>57</v>
      </c>
      <c r="I4" s="22">
        <f ca="1">SUMPRODUCT((Input!$K$3:$K$1000=I$2)*(Input!$N$3:$N$1000=$B4)*(Input!$X$3:$X$1000))</f>
        <v>0</v>
      </c>
      <c r="J4" s="22">
        <f ca="1">SUMPRODUCT((Input!$K$3:$K$1000=J$2)*(Input!$N$3:$N$1000=$B4)*(Input!$X$3:$X$1000))</f>
        <v>0</v>
      </c>
      <c r="K4" s="22">
        <f ca="1">SUMPRODUCT((Input!$K$3:$K$1000=K$2)*(Input!$N$3:$N$1000=$B4)*(Input!$X$3:$X$1000))</f>
        <v>0</v>
      </c>
      <c r="L4" s="22">
        <f ca="1">SUMPRODUCT((Input!$K$3:$K$1000=L$2)*(Input!$N$3:$N$1000=$B4)*(Input!$X$3:$X$1000))</f>
        <v>0</v>
      </c>
      <c r="M4" s="22"/>
    </row>
    <row r="5" spans="1:13" x14ac:dyDescent="0.2">
      <c r="A5" s="20">
        <f t="shared" ca="1" si="2"/>
        <v>2</v>
      </c>
      <c r="B5" s="21" t="s">
        <v>16</v>
      </c>
      <c r="C5" s="22">
        <f t="array" aca="1" ref="C5" ca="1">SUM(LARGE(E5:M5,{1,2,3,4,5}))</f>
        <v>176</v>
      </c>
      <c r="D5" s="22">
        <f t="shared" ca="1" si="3"/>
        <v>3</v>
      </c>
      <c r="E5" s="22">
        <f ca="1">SUMPRODUCT((Input!$K$3:$K$1000=E$2)*(Input!$N$3:$N$1000=$B5)*(Input!$X$3:$X$1000))</f>
        <v>59</v>
      </c>
      <c r="F5" s="22">
        <f ca="1">SUMPRODUCT((Input!$K$3:$K$1000=F$2)*(Input!$N$3:$N$1000=$B5)*(Input!$X$3:$X$1000))</f>
        <v>59</v>
      </c>
      <c r="G5" s="22">
        <f ca="1">SUMPRODUCT((Input!$K$3:$K$1000=G$2)*(Input!$N$3:$N$1000=$B5)*(Input!$X$3:$X$1000))</f>
        <v>0</v>
      </c>
      <c r="H5" s="22">
        <f ca="1">SUMPRODUCT((Input!$K$3:$K$1000=H$2)*(Input!$N$3:$N$1000=$B5)*(Input!$X$3:$X$1000))</f>
        <v>58</v>
      </c>
      <c r="I5" s="22">
        <f ca="1">SUMPRODUCT((Input!$K$3:$K$1000=I$2)*(Input!$N$3:$N$1000=$B5)*(Input!$X$3:$X$1000))</f>
        <v>0</v>
      </c>
      <c r="J5" s="22">
        <f ca="1">SUMPRODUCT((Input!$K$3:$K$1000=J$2)*(Input!$N$3:$N$1000=$B5)*(Input!$X$3:$X$1000))</f>
        <v>0</v>
      </c>
      <c r="K5" s="22">
        <f ca="1">SUMPRODUCT((Input!$K$3:$K$1000=K$2)*(Input!$N$3:$N$1000=$B5)*(Input!$X$3:$X$1000))</f>
        <v>0</v>
      </c>
      <c r="L5" s="22">
        <f ca="1">SUMPRODUCT((Input!$K$3:$K$1000=L$2)*(Input!$N$3:$N$1000=$B5)*(Input!$X$3:$X$1000))</f>
        <v>0</v>
      </c>
      <c r="M5" s="22"/>
    </row>
    <row r="6" spans="1:13" x14ac:dyDescent="0.2">
      <c r="A6" s="20">
        <f t="shared" ca="1" si="2"/>
        <v>3</v>
      </c>
      <c r="B6" s="21" t="s">
        <v>14</v>
      </c>
      <c r="C6" s="22">
        <f t="array" aca="1" ref="C6" ca="1">SUM(LARGE(E6:M6,{1,2,3,4,5}))</f>
        <v>175</v>
      </c>
      <c r="D6" s="22">
        <f t="shared" ca="1" si="3"/>
        <v>3</v>
      </c>
      <c r="E6" s="22">
        <f ca="1">SUMPRODUCT((Input!$K$3:$K$1000=E$2)*(Input!$N$3:$N$1000=$B6)*(Input!$X$3:$X$1000))</f>
        <v>0</v>
      </c>
      <c r="F6" s="22">
        <f ca="1">SUMPRODUCT((Input!$K$3:$K$1000=F$2)*(Input!$N$3:$N$1000=$B6)*(Input!$X$3:$X$1000))</f>
        <v>58</v>
      </c>
      <c r="G6" s="22">
        <f ca="1">SUMPRODUCT((Input!$K$3:$K$1000=G$2)*(Input!$N$3:$N$1000=$B6)*(Input!$X$3:$X$1000))</f>
        <v>57</v>
      </c>
      <c r="H6" s="22">
        <f ca="1">SUMPRODUCT((Input!$K$3:$K$1000=H$2)*(Input!$N$3:$N$1000=$B6)*(Input!$X$3:$X$1000))</f>
        <v>60</v>
      </c>
      <c r="I6" s="22">
        <f ca="1">SUMPRODUCT((Input!$K$3:$K$1000=I$2)*(Input!$N$3:$N$1000=$B6)*(Input!$X$3:$X$1000))</f>
        <v>0</v>
      </c>
      <c r="J6" s="22">
        <f ca="1">SUMPRODUCT((Input!$K$3:$K$1000=J$2)*(Input!$N$3:$N$1000=$B6)*(Input!$X$3:$X$1000))</f>
        <v>0</v>
      </c>
      <c r="K6" s="22">
        <f ca="1">SUMPRODUCT((Input!$K$3:$K$1000=K$2)*(Input!$N$3:$N$1000=$B6)*(Input!$X$3:$X$1000))</f>
        <v>0</v>
      </c>
      <c r="L6" s="22">
        <f ca="1">SUMPRODUCT((Input!$K$3:$K$1000=L$2)*(Input!$N$3:$N$1000=$B6)*(Input!$X$3:$X$1000))</f>
        <v>0</v>
      </c>
      <c r="M6" s="22"/>
    </row>
    <row r="7" spans="1:13" x14ac:dyDescent="0.2">
      <c r="A7" s="20">
        <f t="shared" ca="1" si="2"/>
        <v>4</v>
      </c>
      <c r="B7" s="21" t="s">
        <v>15</v>
      </c>
      <c r="C7" s="22">
        <f t="array" aca="1" ref="C7" ca="1">SUM(LARGE(E7:M7,{1,2,3,4,5}))</f>
        <v>166</v>
      </c>
      <c r="D7" s="22">
        <f t="shared" ca="1" si="3"/>
        <v>3</v>
      </c>
      <c r="E7" s="22">
        <f ca="1">SUMPRODUCT((Input!$K$3:$K$1000=E$2)*(Input!$N$3:$N$1000=$B7)*(Input!$X$3:$X$1000))</f>
        <v>0</v>
      </c>
      <c r="F7" s="22">
        <f ca="1">SUMPRODUCT((Input!$K$3:$K$1000=F$2)*(Input!$N$3:$N$1000=$B7)*(Input!$X$3:$X$1000))</f>
        <v>55</v>
      </c>
      <c r="G7" s="22">
        <f ca="1">SUMPRODUCT((Input!$K$3:$K$1000=G$2)*(Input!$N$3:$N$1000=$B7)*(Input!$X$3:$X$1000))</f>
        <v>55</v>
      </c>
      <c r="H7" s="22">
        <f ca="1">SUMPRODUCT((Input!$K$3:$K$1000=H$2)*(Input!$N$3:$N$1000=$B7)*(Input!$X$3:$X$1000))</f>
        <v>56</v>
      </c>
      <c r="I7" s="22">
        <f ca="1">SUMPRODUCT((Input!$K$3:$K$1000=I$2)*(Input!$N$3:$N$1000=$B7)*(Input!$X$3:$X$1000))</f>
        <v>0</v>
      </c>
      <c r="J7" s="22">
        <f ca="1">SUMPRODUCT((Input!$K$3:$K$1000=J$2)*(Input!$N$3:$N$1000=$B7)*(Input!$X$3:$X$1000))</f>
        <v>0</v>
      </c>
      <c r="K7" s="22">
        <f ca="1">SUMPRODUCT((Input!$K$3:$K$1000=K$2)*(Input!$N$3:$N$1000=$B7)*(Input!$X$3:$X$1000))</f>
        <v>0</v>
      </c>
      <c r="L7" s="22">
        <f ca="1">SUMPRODUCT((Input!$K$3:$K$1000=L$2)*(Input!$N$3:$N$1000=$B7)*(Input!$X$3:$X$1000))</f>
        <v>0</v>
      </c>
      <c r="M7" s="22"/>
    </row>
    <row r="8" spans="1:13" x14ac:dyDescent="0.2">
      <c r="A8" s="20">
        <f t="shared" ca="1" si="2"/>
        <v>5</v>
      </c>
      <c r="B8" s="21" t="s">
        <v>17</v>
      </c>
      <c r="C8" s="22">
        <f t="array" aca="1" ref="C8" ca="1">SUM(LARGE(E8:M8,{1,2,3,4,5}))</f>
        <v>158</v>
      </c>
      <c r="D8" s="22">
        <f t="shared" ca="1" si="3"/>
        <v>3</v>
      </c>
      <c r="E8" s="22">
        <f ca="1">SUMPRODUCT((Input!$K$3:$K$1000=E$2)*(Input!$N$3:$N$1000=$B8)*(Input!$X$3:$X$1000))</f>
        <v>53</v>
      </c>
      <c r="F8" s="22">
        <f ca="1">SUMPRODUCT((Input!$K$3:$K$1000=F$2)*(Input!$N$3:$N$1000=$B8)*(Input!$X$3:$X$1000))</f>
        <v>0</v>
      </c>
      <c r="G8" s="22">
        <f ca="1">SUMPRODUCT((Input!$K$3:$K$1000=G$2)*(Input!$N$3:$N$1000=$B8)*(Input!$X$3:$X$1000))</f>
        <v>51</v>
      </c>
      <c r="H8" s="22">
        <f ca="1">SUMPRODUCT((Input!$K$3:$K$1000=H$2)*(Input!$N$3:$N$1000=$B8)*(Input!$X$3:$X$1000))</f>
        <v>54</v>
      </c>
      <c r="I8" s="22">
        <f ca="1">SUMPRODUCT((Input!$K$3:$K$1000=I$2)*(Input!$N$3:$N$1000=$B8)*(Input!$X$3:$X$1000))</f>
        <v>0</v>
      </c>
      <c r="J8" s="22">
        <f ca="1">SUMPRODUCT((Input!$K$3:$K$1000=J$2)*(Input!$N$3:$N$1000=$B8)*(Input!$X$3:$X$1000))</f>
        <v>0</v>
      </c>
      <c r="K8" s="22">
        <f ca="1">SUMPRODUCT((Input!$K$3:$K$1000=K$2)*(Input!$N$3:$N$1000=$B8)*(Input!$X$3:$X$1000))</f>
        <v>0</v>
      </c>
      <c r="L8" s="22">
        <f ca="1">SUMPRODUCT((Input!$K$3:$K$1000=L$2)*(Input!$N$3:$N$1000=$B8)*(Input!$X$3:$X$1000))</f>
        <v>0</v>
      </c>
      <c r="M8" s="22"/>
    </row>
    <row r="9" spans="1:13" x14ac:dyDescent="0.2">
      <c r="A9" s="20">
        <f t="shared" ca="1" si="2"/>
        <v>6</v>
      </c>
      <c r="B9" s="23" t="s">
        <v>18</v>
      </c>
      <c r="C9" s="22">
        <f t="array" aca="1" ref="C9" ca="1">SUM(LARGE(E9:M9,{1,2,3,4,5}))</f>
        <v>156</v>
      </c>
      <c r="D9" s="22">
        <f t="shared" ca="1" si="3"/>
        <v>3</v>
      </c>
      <c r="E9" s="22">
        <f ca="1">SUMPRODUCT((Input!$K$3:$K$1000=E$2)*(Input!$N$3:$N$1000=$B9)*(Input!$X$3:$X$1000))</f>
        <v>0</v>
      </c>
      <c r="F9" s="22">
        <f ca="1">SUMPRODUCT((Input!$K$3:$K$1000=F$2)*(Input!$N$3:$N$1000=$B9)*(Input!$X$3:$X$1000))</f>
        <v>53</v>
      </c>
      <c r="G9" s="22">
        <f ca="1">SUMPRODUCT((Input!$K$3:$K$1000=G$2)*(Input!$N$3:$N$1000=$B9)*(Input!$X$3:$X$1000))</f>
        <v>50</v>
      </c>
      <c r="H9" s="22">
        <f ca="1">SUMPRODUCT((Input!$K$3:$K$1000=H$2)*(Input!$N$3:$N$1000=$B9)*(Input!$X$3:$X$1000))</f>
        <v>53</v>
      </c>
      <c r="I9" s="22">
        <f ca="1">SUMPRODUCT((Input!$K$3:$K$1000=I$2)*(Input!$N$3:$N$1000=$B9)*(Input!$X$3:$X$1000))</f>
        <v>0</v>
      </c>
      <c r="J9" s="22">
        <f ca="1">SUMPRODUCT((Input!$K$3:$K$1000=J$2)*(Input!$N$3:$N$1000=$B9)*(Input!$X$3:$X$1000))</f>
        <v>0</v>
      </c>
      <c r="K9" s="22">
        <f ca="1">SUMPRODUCT((Input!$K$3:$K$1000=K$2)*(Input!$N$3:$N$1000=$B9)*(Input!$X$3:$X$1000))</f>
        <v>0</v>
      </c>
      <c r="L9" s="22">
        <f ca="1">SUMPRODUCT((Input!$K$3:$K$1000=L$2)*(Input!$N$3:$N$1000=$B9)*(Input!$X$3:$X$1000))</f>
        <v>0</v>
      </c>
      <c r="M9" s="22"/>
    </row>
    <row r="10" spans="1:13" x14ac:dyDescent="0.2">
      <c r="A10" s="20">
        <f t="shared" ca="1" si="2"/>
        <v>7</v>
      </c>
      <c r="B10" s="21" t="s">
        <v>19</v>
      </c>
      <c r="C10" s="22">
        <f t="array" aca="1" ref="C10" ca="1">SUM(LARGE(E10:M10,{1,2,3,4,5}))</f>
        <v>119</v>
      </c>
      <c r="D10" s="22">
        <f t="shared" ca="1" si="3"/>
        <v>2</v>
      </c>
      <c r="E10" s="22">
        <f ca="1">SUMPRODUCT((Input!$K$3:$K$1000=E$2)*(Input!$N$3:$N$1000=$B10)*(Input!$X$3:$X$1000))</f>
        <v>60</v>
      </c>
      <c r="F10" s="22">
        <f ca="1">SUMPRODUCT((Input!$K$3:$K$1000=F$2)*(Input!$N$3:$N$1000=$B10)*(Input!$X$3:$X$1000))</f>
        <v>0</v>
      </c>
      <c r="G10" s="22">
        <f ca="1">SUMPRODUCT((Input!$K$3:$K$1000=G$2)*(Input!$N$3:$N$1000=$B10)*(Input!$X$3:$X$1000))</f>
        <v>59</v>
      </c>
      <c r="H10" s="22">
        <f ca="1">SUMPRODUCT((Input!$K$3:$K$1000=H$2)*(Input!$N$3:$N$1000=$B10)*(Input!$X$3:$X$1000))</f>
        <v>0</v>
      </c>
      <c r="I10" s="22">
        <f ca="1">SUMPRODUCT((Input!$K$3:$K$1000=I$2)*(Input!$N$3:$N$1000=$B10)*(Input!$X$3:$X$1000))</f>
        <v>0</v>
      </c>
      <c r="J10" s="22">
        <f ca="1">SUMPRODUCT((Input!$K$3:$K$1000=J$2)*(Input!$N$3:$N$1000=$B10)*(Input!$X$3:$X$1000))</f>
        <v>0</v>
      </c>
      <c r="K10" s="22">
        <f ca="1">SUMPRODUCT((Input!$K$3:$K$1000=K$2)*(Input!$N$3:$N$1000=$B10)*(Input!$X$3:$X$1000))</f>
        <v>0</v>
      </c>
      <c r="L10" s="22">
        <f ca="1">SUMPRODUCT((Input!$K$3:$K$1000=L$2)*(Input!$N$3:$N$1000=$B10)*(Input!$X$3:$X$1000))</f>
        <v>0</v>
      </c>
      <c r="M10" s="22"/>
    </row>
    <row r="11" spans="1:13" x14ac:dyDescent="0.2">
      <c r="A11" s="20">
        <f t="shared" ca="1" si="2"/>
        <v>8</v>
      </c>
      <c r="B11" s="23" t="s">
        <v>21</v>
      </c>
      <c r="C11" s="22">
        <f t="array" aca="1" ref="C11" ca="1">SUM(LARGE(E11:M11,{1,2,3,4,5}))</f>
        <v>118</v>
      </c>
      <c r="D11" s="22">
        <f t="shared" ca="1" si="3"/>
        <v>2</v>
      </c>
      <c r="E11" s="22">
        <f ca="1">SUMPRODUCT((Input!$K$3:$K$1000=E$2)*(Input!$N$3:$N$1000=$B11)*(Input!$X$3:$X$1000))</f>
        <v>0</v>
      </c>
      <c r="F11" s="22">
        <f ca="1">SUMPRODUCT((Input!$K$3:$K$1000=F$2)*(Input!$N$3:$N$1000=$B11)*(Input!$X$3:$X$1000))</f>
        <v>60</v>
      </c>
      <c r="G11" s="22">
        <f ca="1">SUMPRODUCT((Input!$K$3:$K$1000=G$2)*(Input!$N$3:$N$1000=$B11)*(Input!$X$3:$X$1000))</f>
        <v>58</v>
      </c>
      <c r="H11" s="22">
        <f ca="1">SUMPRODUCT((Input!$K$3:$K$1000=H$2)*(Input!$N$3:$N$1000=$B11)*(Input!$X$3:$X$1000))</f>
        <v>0</v>
      </c>
      <c r="I11" s="22">
        <f ca="1">SUMPRODUCT((Input!$K$3:$K$1000=I$2)*(Input!$N$3:$N$1000=$B11)*(Input!$X$3:$X$1000))</f>
        <v>0</v>
      </c>
      <c r="J11" s="22">
        <f ca="1">SUMPRODUCT((Input!$K$3:$K$1000=J$2)*(Input!$N$3:$N$1000=$B11)*(Input!$X$3:$X$1000))</f>
        <v>0</v>
      </c>
      <c r="K11" s="22">
        <f ca="1">SUMPRODUCT((Input!$K$3:$K$1000=K$2)*(Input!$N$3:$N$1000=$B11)*(Input!$X$3:$X$1000))</f>
        <v>0</v>
      </c>
      <c r="L11" s="22">
        <f ca="1">SUMPRODUCT((Input!$K$3:$K$1000=L$2)*(Input!$N$3:$N$1000=$B11)*(Input!$X$3:$X$1000))</f>
        <v>0</v>
      </c>
      <c r="M11" s="22"/>
    </row>
    <row r="12" spans="1:13" x14ac:dyDescent="0.2">
      <c r="A12" s="20">
        <f t="shared" ca="1" si="2"/>
        <v>9</v>
      </c>
      <c r="B12" s="23" t="s">
        <v>20</v>
      </c>
      <c r="C12" s="22">
        <f t="array" aca="1" ref="C12" ca="1">SUM(LARGE(E12:M12,{1,2,3,4,5}))</f>
        <v>111</v>
      </c>
      <c r="D12" s="22">
        <f t="shared" ca="1" si="3"/>
        <v>2</v>
      </c>
      <c r="E12" s="22">
        <f ca="1">SUMPRODUCT((Input!$K$3:$K$1000=E$2)*(Input!$N$3:$N$1000=$B12)*(Input!$X$3:$X$1000))</f>
        <v>54</v>
      </c>
      <c r="F12" s="22">
        <f ca="1">SUMPRODUCT((Input!$K$3:$K$1000=F$2)*(Input!$N$3:$N$1000=$B12)*(Input!$X$3:$X$1000))</f>
        <v>57</v>
      </c>
      <c r="G12" s="22">
        <f ca="1">SUMPRODUCT((Input!$K$3:$K$1000=G$2)*(Input!$N$3:$N$1000=$B12)*(Input!$X$3:$X$1000))</f>
        <v>0</v>
      </c>
      <c r="H12" s="22">
        <f ca="1">SUMPRODUCT((Input!$K$3:$K$1000=H$2)*(Input!$N$3:$N$1000=$B12)*(Input!$X$3:$X$1000))</f>
        <v>0</v>
      </c>
      <c r="I12" s="22">
        <f ca="1">SUMPRODUCT((Input!$K$3:$K$1000=I$2)*(Input!$N$3:$N$1000=$B12)*(Input!$X$3:$X$1000))</f>
        <v>0</v>
      </c>
      <c r="J12" s="22">
        <f ca="1">SUMPRODUCT((Input!$K$3:$K$1000=J$2)*(Input!$N$3:$N$1000=$B12)*(Input!$X$3:$X$1000))</f>
        <v>0</v>
      </c>
      <c r="K12" s="22">
        <f ca="1">SUMPRODUCT((Input!$K$3:$K$1000=K$2)*(Input!$N$3:$N$1000=$B12)*(Input!$X$3:$X$1000))</f>
        <v>0</v>
      </c>
      <c r="L12" s="22">
        <f ca="1">SUMPRODUCT((Input!$K$3:$K$1000=L$2)*(Input!$N$3:$N$1000=$B12)*(Input!$X$3:$X$1000))</f>
        <v>0</v>
      </c>
      <c r="M12" s="22"/>
    </row>
    <row r="13" spans="1:13" x14ac:dyDescent="0.2">
      <c r="A13" s="20">
        <f t="shared" ca="1" si="2"/>
        <v>10</v>
      </c>
      <c r="B13" s="23" t="s">
        <v>22</v>
      </c>
      <c r="C13" s="22">
        <f t="array" aca="1" ref="C13" ca="1">SUM(LARGE(E13:M13,{1,2,3,4,5}))</f>
        <v>108</v>
      </c>
      <c r="D13" s="22">
        <f t="shared" ca="1" si="3"/>
        <v>2</v>
      </c>
      <c r="E13" s="22">
        <f ca="1">SUMPRODUCT((Input!$K$3:$K$1000=E$2)*(Input!$N$3:$N$1000=$B13)*(Input!$X$3:$X$1000))</f>
        <v>0</v>
      </c>
      <c r="F13" s="22">
        <f ca="1">SUMPRODUCT((Input!$K$3:$K$1000=F$2)*(Input!$N$3:$N$1000=$B13)*(Input!$X$3:$X$1000))</f>
        <v>0</v>
      </c>
      <c r="G13" s="22">
        <f ca="1">SUMPRODUCT((Input!$K$3:$K$1000=G$2)*(Input!$N$3:$N$1000=$B13)*(Input!$X$3:$X$1000))</f>
        <v>53</v>
      </c>
      <c r="H13" s="22">
        <f ca="1">SUMPRODUCT((Input!$K$3:$K$1000=H$2)*(Input!$N$3:$N$1000=$B13)*(Input!$X$3:$X$1000))</f>
        <v>55</v>
      </c>
      <c r="I13" s="22">
        <f ca="1">SUMPRODUCT((Input!$K$3:$K$1000=I$2)*(Input!$N$3:$N$1000=$B13)*(Input!$X$3:$X$1000))</f>
        <v>0</v>
      </c>
      <c r="J13" s="22">
        <f ca="1">SUMPRODUCT((Input!$K$3:$K$1000=J$2)*(Input!$N$3:$N$1000=$B13)*(Input!$X$3:$X$1000))</f>
        <v>0</v>
      </c>
      <c r="K13" s="22">
        <f ca="1">SUMPRODUCT((Input!$K$3:$K$1000=K$2)*(Input!$N$3:$N$1000=$B13)*(Input!$X$3:$X$1000))</f>
        <v>0</v>
      </c>
      <c r="L13" s="22">
        <f ca="1">SUMPRODUCT((Input!$K$3:$K$1000=L$2)*(Input!$N$3:$N$1000=$B13)*(Input!$X$3:$X$1000))</f>
        <v>0</v>
      </c>
      <c r="M13" s="22"/>
    </row>
    <row r="14" spans="1:13" x14ac:dyDescent="0.2">
      <c r="A14" s="20">
        <f t="shared" ca="1" si="2"/>
        <v>11</v>
      </c>
      <c r="B14" s="21" t="s">
        <v>23</v>
      </c>
      <c r="C14" s="22">
        <f t="array" aca="1" ref="C14" ca="1">SUM(LARGE(E14:M14,{1,2,3,4,5}))</f>
        <v>107</v>
      </c>
      <c r="D14" s="22">
        <f t="shared" ca="1" si="3"/>
        <v>2</v>
      </c>
      <c r="E14" s="22">
        <f ca="1">SUMPRODUCT((Input!$K$3:$K$1000=E$2)*(Input!$N$3:$N$1000=$B14)*(Input!$X$3:$X$1000))</f>
        <v>55</v>
      </c>
      <c r="F14" s="22">
        <f ca="1">SUMPRODUCT((Input!$K$3:$K$1000=F$2)*(Input!$N$3:$N$1000=$B14)*(Input!$X$3:$X$1000))</f>
        <v>0</v>
      </c>
      <c r="G14" s="22">
        <f ca="1">SUMPRODUCT((Input!$K$3:$K$1000=G$2)*(Input!$N$3:$N$1000=$B14)*(Input!$X$3:$X$1000))</f>
        <v>52</v>
      </c>
      <c r="H14" s="22">
        <f ca="1">SUMPRODUCT((Input!$K$3:$K$1000=H$2)*(Input!$N$3:$N$1000=$B14)*(Input!$X$3:$X$1000))</f>
        <v>0</v>
      </c>
      <c r="I14" s="22">
        <f ca="1">SUMPRODUCT((Input!$K$3:$K$1000=I$2)*(Input!$N$3:$N$1000=$B14)*(Input!$X$3:$X$1000))</f>
        <v>0</v>
      </c>
      <c r="J14" s="22">
        <f ca="1">SUMPRODUCT((Input!$K$3:$K$1000=J$2)*(Input!$N$3:$N$1000=$B14)*(Input!$X$3:$X$1000))</f>
        <v>0</v>
      </c>
      <c r="K14" s="22">
        <f ca="1">SUMPRODUCT((Input!$K$3:$K$1000=K$2)*(Input!$N$3:$N$1000=$B14)*(Input!$X$3:$X$1000))</f>
        <v>0</v>
      </c>
      <c r="L14" s="22">
        <f ca="1">SUMPRODUCT((Input!$K$3:$K$1000=L$2)*(Input!$N$3:$N$1000=$B14)*(Input!$X$3:$X$1000))</f>
        <v>0</v>
      </c>
      <c r="M14" s="22"/>
    </row>
    <row r="15" spans="1:13" x14ac:dyDescent="0.2">
      <c r="A15" s="20">
        <f t="shared" ca="1" si="2"/>
        <v>12</v>
      </c>
      <c r="B15" s="21" t="s">
        <v>24</v>
      </c>
      <c r="C15" s="22">
        <f t="array" aca="1" ref="C15" ca="1">SUM(LARGE(E15:M15,{1,2,3,4,5}))</f>
        <v>100</v>
      </c>
      <c r="D15" s="22">
        <f t="shared" ca="1" si="3"/>
        <v>2</v>
      </c>
      <c r="E15" s="22">
        <f ca="1">SUMPRODUCT((Input!$K$3:$K$1000=E$2)*(Input!$N$3:$N$1000=$B15)*(Input!$X$3:$X$1000))</f>
        <v>0</v>
      </c>
      <c r="F15" s="22">
        <f ca="1">SUMPRODUCT((Input!$K$3:$K$1000=F$2)*(Input!$N$3:$N$1000=$B15)*(Input!$X$3:$X$1000))</f>
        <v>0</v>
      </c>
      <c r="G15" s="22">
        <f ca="1">SUMPRODUCT((Input!$K$3:$K$1000=G$2)*(Input!$N$3:$N$1000=$B15)*(Input!$X$3:$X$1000))</f>
        <v>48</v>
      </c>
      <c r="H15" s="22">
        <f ca="1">SUMPRODUCT((Input!$K$3:$K$1000=H$2)*(Input!$N$3:$N$1000=$B15)*(Input!$X$3:$X$1000))</f>
        <v>52</v>
      </c>
      <c r="I15" s="22">
        <f ca="1">SUMPRODUCT((Input!$K$3:$K$1000=I$2)*(Input!$N$3:$N$1000=$B15)*(Input!$X$3:$X$1000))</f>
        <v>0</v>
      </c>
      <c r="J15" s="22">
        <f ca="1">SUMPRODUCT((Input!$K$3:$K$1000=J$2)*(Input!$N$3:$N$1000=$B15)*(Input!$X$3:$X$1000))</f>
        <v>0</v>
      </c>
      <c r="K15" s="22">
        <f ca="1">SUMPRODUCT((Input!$K$3:$K$1000=K$2)*(Input!$N$3:$N$1000=$B15)*(Input!$X$3:$X$1000))</f>
        <v>0</v>
      </c>
      <c r="L15" s="22">
        <f ca="1">SUMPRODUCT((Input!$K$3:$K$1000=L$2)*(Input!$N$3:$N$1000=$B15)*(Input!$X$3:$X$1000))</f>
        <v>0</v>
      </c>
      <c r="M15" s="22"/>
    </row>
    <row r="16" spans="1:13" x14ac:dyDescent="0.2">
      <c r="A16" s="20">
        <f t="shared" ca="1" si="2"/>
        <v>13</v>
      </c>
      <c r="B16" s="23" t="s">
        <v>26</v>
      </c>
      <c r="C16" s="22">
        <f t="array" aca="1" ref="C16" ca="1">SUM(LARGE(E16:M16,{1,2,3,4,5}))</f>
        <v>60</v>
      </c>
      <c r="D16" s="22">
        <f t="shared" ca="1" si="3"/>
        <v>1</v>
      </c>
      <c r="E16" s="22">
        <f ca="1">SUMPRODUCT((Input!$K$3:$K$1000=E$2)*(Input!$N$3:$N$1000=$B16)*(Input!$X$3:$X$1000))</f>
        <v>0</v>
      </c>
      <c r="F16" s="22">
        <f ca="1">SUMPRODUCT((Input!$K$3:$K$1000=F$2)*(Input!$N$3:$N$1000=$B16)*(Input!$X$3:$X$1000))</f>
        <v>0</v>
      </c>
      <c r="G16" s="22">
        <f ca="1">SUMPRODUCT((Input!$K$3:$K$1000=G$2)*(Input!$N$3:$N$1000=$B16)*(Input!$X$3:$X$1000))</f>
        <v>60</v>
      </c>
      <c r="H16" s="22">
        <f ca="1">SUMPRODUCT((Input!$K$3:$K$1000=H$2)*(Input!$N$3:$N$1000=$B16)*(Input!$X$3:$X$1000))</f>
        <v>0</v>
      </c>
      <c r="I16" s="22">
        <f ca="1">SUMPRODUCT((Input!$K$3:$K$1000=I$2)*(Input!$N$3:$N$1000=$B16)*(Input!$X$3:$X$1000))</f>
        <v>0</v>
      </c>
      <c r="J16" s="22">
        <f ca="1">SUMPRODUCT((Input!$K$3:$K$1000=J$2)*(Input!$N$3:$N$1000=$B16)*(Input!$X$3:$X$1000))</f>
        <v>0</v>
      </c>
      <c r="K16" s="22">
        <f ca="1">SUMPRODUCT((Input!$K$3:$K$1000=K$2)*(Input!$N$3:$N$1000=$B16)*(Input!$X$3:$X$1000))</f>
        <v>0</v>
      </c>
      <c r="L16" s="22">
        <f ca="1">SUMPRODUCT((Input!$K$3:$K$1000=L$2)*(Input!$N$3:$N$1000=$B16)*(Input!$X$3:$X$1000))</f>
        <v>0</v>
      </c>
      <c r="M16" s="22"/>
    </row>
    <row r="17" spans="1:13" x14ac:dyDescent="0.2">
      <c r="A17" s="20">
        <f t="shared" ca="1" si="2"/>
        <v>14</v>
      </c>
      <c r="B17" s="21" t="s">
        <v>27</v>
      </c>
      <c r="C17" s="22">
        <f t="array" aca="1" ref="C17" ca="1">SUM(LARGE(E17:M17,{1,2,3,4,5}))</f>
        <v>59</v>
      </c>
      <c r="D17" s="22">
        <f t="shared" ca="1" si="3"/>
        <v>1</v>
      </c>
      <c r="E17" s="22">
        <f ca="1">SUMPRODUCT((Input!$K$3:$K$1000=E$2)*(Input!$N$3:$N$1000=$B17)*(Input!$X$3:$X$1000))</f>
        <v>0</v>
      </c>
      <c r="F17" s="22">
        <f ca="1">SUMPRODUCT((Input!$K$3:$K$1000=F$2)*(Input!$N$3:$N$1000=$B17)*(Input!$X$3:$X$1000))</f>
        <v>0</v>
      </c>
      <c r="G17" s="22">
        <f ca="1">SUMPRODUCT((Input!$K$3:$K$1000=G$2)*(Input!$N$3:$N$1000=$B17)*(Input!$X$3:$X$1000))</f>
        <v>0</v>
      </c>
      <c r="H17" s="22">
        <f ca="1">SUMPRODUCT((Input!$K$3:$K$1000=H$2)*(Input!$N$3:$N$1000=$B17)*(Input!$X$3:$X$1000))</f>
        <v>59</v>
      </c>
      <c r="I17" s="22">
        <f ca="1">SUMPRODUCT((Input!$K$3:$K$1000=I$2)*(Input!$N$3:$N$1000=$B17)*(Input!$X$3:$X$1000))</f>
        <v>0</v>
      </c>
      <c r="J17" s="22">
        <f ca="1">SUMPRODUCT((Input!$K$3:$K$1000=J$2)*(Input!$N$3:$N$1000=$B17)*(Input!$X$3:$X$1000))</f>
        <v>0</v>
      </c>
      <c r="K17" s="22">
        <f ca="1">SUMPRODUCT((Input!$K$3:$K$1000=K$2)*(Input!$N$3:$N$1000=$B17)*(Input!$X$3:$X$1000))</f>
        <v>0</v>
      </c>
      <c r="L17" s="22">
        <f ca="1">SUMPRODUCT((Input!$K$3:$K$1000=L$2)*(Input!$N$3:$N$1000=$B17)*(Input!$X$3:$X$1000))</f>
        <v>0</v>
      </c>
      <c r="M17" s="22"/>
    </row>
    <row r="18" spans="1:13" x14ac:dyDescent="0.2">
      <c r="A18" s="20">
        <f t="shared" ca="1" si="2"/>
        <v>15</v>
      </c>
      <c r="B18" s="21" t="s">
        <v>28</v>
      </c>
      <c r="C18" s="22">
        <f t="array" aca="1" ref="C18" ca="1">SUM(LARGE(E18:M18,{1,2,3,4,5}))</f>
        <v>57</v>
      </c>
      <c r="D18" s="22">
        <f t="shared" ca="1" si="3"/>
        <v>1</v>
      </c>
      <c r="E18" s="22">
        <f ca="1">SUMPRODUCT((Input!$K$3:$K$1000=E$2)*(Input!$N$3:$N$1000=$B18)*(Input!$X$3:$X$1000))</f>
        <v>57</v>
      </c>
      <c r="F18" s="22">
        <f ca="1">SUMPRODUCT((Input!$K$3:$K$1000=F$2)*(Input!$N$3:$N$1000=$B18)*(Input!$X$3:$X$1000))</f>
        <v>0</v>
      </c>
      <c r="G18" s="22">
        <f ca="1">SUMPRODUCT((Input!$K$3:$K$1000=G$2)*(Input!$N$3:$N$1000=$B18)*(Input!$X$3:$X$1000))</f>
        <v>0</v>
      </c>
      <c r="H18" s="22">
        <f ca="1">SUMPRODUCT((Input!$K$3:$K$1000=H$2)*(Input!$N$3:$N$1000=$B18)*(Input!$X$3:$X$1000))</f>
        <v>0</v>
      </c>
      <c r="I18" s="22">
        <f ca="1">SUMPRODUCT((Input!$K$3:$K$1000=I$2)*(Input!$N$3:$N$1000=$B18)*(Input!$X$3:$X$1000))</f>
        <v>0</v>
      </c>
      <c r="J18" s="22">
        <f ca="1">SUMPRODUCT((Input!$K$3:$K$1000=J$2)*(Input!$N$3:$N$1000=$B18)*(Input!$X$3:$X$1000))</f>
        <v>0</v>
      </c>
      <c r="K18" s="22">
        <f ca="1">SUMPRODUCT((Input!$K$3:$K$1000=K$2)*(Input!$N$3:$N$1000=$B18)*(Input!$X$3:$X$1000))</f>
        <v>0</v>
      </c>
      <c r="L18" s="22">
        <f ca="1">SUMPRODUCT((Input!$K$3:$K$1000=L$2)*(Input!$N$3:$N$1000=$B18)*(Input!$X$3:$X$1000))</f>
        <v>0</v>
      </c>
      <c r="M18" s="22"/>
    </row>
    <row r="19" spans="1:13" x14ac:dyDescent="0.2">
      <c r="A19" s="20">
        <f t="shared" ca="1" si="2"/>
        <v>16</v>
      </c>
      <c r="B19" s="23" t="s">
        <v>31</v>
      </c>
      <c r="C19" s="22">
        <f t="array" aca="1" ref="C19" ca="1">SUM(LARGE(E19:M19,{1,2,3,4,5}))</f>
        <v>56</v>
      </c>
      <c r="D19" s="22">
        <f t="shared" ca="1" si="3"/>
        <v>1</v>
      </c>
      <c r="E19" s="22">
        <f ca="1">SUMPRODUCT((Input!$K$3:$K$1000=E$2)*(Input!$N$3:$N$1000=$B19)*(Input!$X$3:$X$1000))</f>
        <v>56</v>
      </c>
      <c r="F19" s="22">
        <f ca="1">SUMPRODUCT((Input!$K$3:$K$1000=F$2)*(Input!$N$3:$N$1000=$B19)*(Input!$X$3:$X$1000))</f>
        <v>0</v>
      </c>
      <c r="G19" s="22">
        <f ca="1">SUMPRODUCT((Input!$K$3:$K$1000=G$2)*(Input!$N$3:$N$1000=$B19)*(Input!$X$3:$X$1000))</f>
        <v>0</v>
      </c>
      <c r="H19" s="22">
        <f ca="1">SUMPRODUCT((Input!$K$3:$K$1000=H$2)*(Input!$N$3:$N$1000=$B19)*(Input!$X$3:$X$1000))</f>
        <v>0</v>
      </c>
      <c r="I19" s="22">
        <f ca="1">SUMPRODUCT((Input!$K$3:$K$1000=I$2)*(Input!$N$3:$N$1000=$B19)*(Input!$X$3:$X$1000))</f>
        <v>0</v>
      </c>
      <c r="J19" s="22">
        <f ca="1">SUMPRODUCT((Input!$K$3:$K$1000=J$2)*(Input!$N$3:$N$1000=$B19)*(Input!$X$3:$X$1000))</f>
        <v>0</v>
      </c>
      <c r="K19" s="22">
        <f ca="1">SUMPRODUCT((Input!$K$3:$K$1000=K$2)*(Input!$N$3:$N$1000=$B19)*(Input!$X$3:$X$1000))</f>
        <v>0</v>
      </c>
      <c r="L19" s="22">
        <f ca="1">SUMPRODUCT((Input!$K$3:$K$1000=L$2)*(Input!$N$3:$N$1000=$B19)*(Input!$X$3:$X$1000))</f>
        <v>0</v>
      </c>
      <c r="M19" s="22"/>
    </row>
    <row r="20" spans="1:13" x14ac:dyDescent="0.2">
      <c r="A20" s="20">
        <f t="shared" ca="1" si="2"/>
        <v>17</v>
      </c>
      <c r="B20" s="23" t="s">
        <v>30</v>
      </c>
      <c r="C20" s="22">
        <f t="array" aca="1" ref="C20" ca="1">SUM(LARGE(E20:M20,{1,2,3,4,5}))</f>
        <v>54</v>
      </c>
      <c r="D20" s="22">
        <f t="shared" ca="1" si="3"/>
        <v>1</v>
      </c>
      <c r="E20" s="22">
        <f ca="1">SUMPRODUCT((Input!$K$3:$K$1000=E$2)*(Input!$N$3:$N$1000=$B20)*(Input!$X$3:$X$1000))</f>
        <v>0</v>
      </c>
      <c r="F20" s="22">
        <f ca="1">SUMPRODUCT((Input!$K$3:$K$1000=F$2)*(Input!$N$3:$N$1000=$B20)*(Input!$X$3:$X$1000))</f>
        <v>54</v>
      </c>
      <c r="G20" s="22">
        <f ca="1">SUMPRODUCT((Input!$K$3:$K$1000=G$2)*(Input!$N$3:$N$1000=$B20)*(Input!$X$3:$X$1000))</f>
        <v>0</v>
      </c>
      <c r="H20" s="22">
        <f ca="1">SUMPRODUCT((Input!$K$3:$K$1000=H$2)*(Input!$N$3:$N$1000=$B20)*(Input!$X$3:$X$1000))</f>
        <v>0</v>
      </c>
      <c r="I20" s="22">
        <f ca="1">SUMPRODUCT((Input!$K$3:$K$1000=I$2)*(Input!$N$3:$N$1000=$B20)*(Input!$X$3:$X$1000))</f>
        <v>0</v>
      </c>
      <c r="J20" s="22">
        <f ca="1">SUMPRODUCT((Input!$K$3:$K$1000=J$2)*(Input!$N$3:$N$1000=$B20)*(Input!$X$3:$X$1000))</f>
        <v>0</v>
      </c>
      <c r="K20" s="22">
        <f ca="1">SUMPRODUCT((Input!$K$3:$K$1000=K$2)*(Input!$N$3:$N$1000=$B20)*(Input!$X$3:$X$1000))</f>
        <v>0</v>
      </c>
      <c r="L20" s="22">
        <f ca="1">SUMPRODUCT((Input!$K$3:$K$1000=L$2)*(Input!$N$3:$N$1000=$B20)*(Input!$X$3:$X$1000))</f>
        <v>0</v>
      </c>
      <c r="M20" s="22"/>
    </row>
    <row r="21" spans="1:13" x14ac:dyDescent="0.2">
      <c r="A21" s="20">
        <f t="shared" ca="1" si="2"/>
        <v>17</v>
      </c>
      <c r="B21" s="23" t="s">
        <v>29</v>
      </c>
      <c r="C21" s="22">
        <f t="array" aca="1" ref="C21" ca="1">SUM(LARGE(E21:M21,{1,2,3,4,5}))</f>
        <v>54</v>
      </c>
      <c r="D21" s="22">
        <f t="shared" ca="1" si="3"/>
        <v>1</v>
      </c>
      <c r="E21" s="22">
        <f ca="1">SUMPRODUCT((Input!$K$3:$K$1000=E$2)*(Input!$N$3:$N$1000=$B21)*(Input!$X$3:$X$1000))</f>
        <v>0</v>
      </c>
      <c r="F21" s="22">
        <f ca="1">SUMPRODUCT((Input!$K$3:$K$1000=F$2)*(Input!$N$3:$N$1000=$B21)*(Input!$X$3:$X$1000))</f>
        <v>0</v>
      </c>
      <c r="G21" s="22">
        <f ca="1">SUMPRODUCT((Input!$K$3:$K$1000=G$2)*(Input!$N$3:$N$1000=$B21)*(Input!$X$3:$X$1000))</f>
        <v>54</v>
      </c>
      <c r="H21" s="22">
        <f ca="1">SUMPRODUCT((Input!$K$3:$K$1000=H$2)*(Input!$N$3:$N$1000=$B21)*(Input!$X$3:$X$1000))</f>
        <v>0</v>
      </c>
      <c r="I21" s="22">
        <f ca="1">SUMPRODUCT((Input!$K$3:$K$1000=I$2)*(Input!$N$3:$N$1000=$B21)*(Input!$X$3:$X$1000))</f>
        <v>0</v>
      </c>
      <c r="J21" s="22">
        <f ca="1">SUMPRODUCT((Input!$K$3:$K$1000=J$2)*(Input!$N$3:$N$1000=$B21)*(Input!$X$3:$X$1000))</f>
        <v>0</v>
      </c>
      <c r="K21" s="22">
        <f ca="1">SUMPRODUCT((Input!$K$3:$K$1000=K$2)*(Input!$N$3:$N$1000=$B21)*(Input!$X$3:$X$1000))</f>
        <v>0</v>
      </c>
      <c r="L21" s="22">
        <f ca="1">SUMPRODUCT((Input!$K$3:$K$1000=L$2)*(Input!$N$3:$N$1000=$B21)*(Input!$X$3:$X$1000))</f>
        <v>0</v>
      </c>
      <c r="M21" s="22"/>
    </row>
    <row r="22" spans="1:13" x14ac:dyDescent="0.2">
      <c r="A22" s="20">
        <f t="shared" ca="1" si="2"/>
        <v>19</v>
      </c>
      <c r="B22" s="21" t="s">
        <v>32</v>
      </c>
      <c r="C22" s="22">
        <f t="array" aca="1" ref="C22" ca="1">SUM(LARGE(E22:M22,{1,2,3,4,5}))</f>
        <v>49</v>
      </c>
      <c r="D22" s="22">
        <f t="shared" ca="1" si="3"/>
        <v>1</v>
      </c>
      <c r="E22" s="22">
        <f ca="1">SUMPRODUCT((Input!$K$3:$K$1000=E$2)*(Input!$N$3:$N$1000=$B22)*(Input!$X$3:$X$1000))</f>
        <v>0</v>
      </c>
      <c r="F22" s="22">
        <f ca="1">SUMPRODUCT((Input!$K$3:$K$1000=F$2)*(Input!$N$3:$N$1000=$B22)*(Input!$X$3:$X$1000))</f>
        <v>0</v>
      </c>
      <c r="G22" s="22">
        <f ca="1">SUMPRODUCT((Input!$K$3:$K$1000=G$2)*(Input!$N$3:$N$1000=$B22)*(Input!$X$3:$X$1000))</f>
        <v>49</v>
      </c>
      <c r="H22" s="22">
        <f ca="1">SUMPRODUCT((Input!$K$3:$K$1000=H$2)*(Input!$N$3:$N$1000=$B22)*(Input!$X$3:$X$1000))</f>
        <v>0</v>
      </c>
      <c r="I22" s="22">
        <f ca="1">SUMPRODUCT((Input!$K$3:$K$1000=I$2)*(Input!$N$3:$N$1000=$B22)*(Input!$X$3:$X$1000))</f>
        <v>0</v>
      </c>
      <c r="J22" s="22">
        <f ca="1">SUMPRODUCT((Input!$K$3:$K$1000=J$2)*(Input!$N$3:$N$1000=$B22)*(Input!$X$3:$X$1000))</f>
        <v>0</v>
      </c>
      <c r="K22" s="22">
        <f ca="1">SUMPRODUCT((Input!$K$3:$K$1000=K$2)*(Input!$N$3:$N$1000=$B22)*(Input!$X$3:$X$1000))</f>
        <v>0</v>
      </c>
      <c r="L22" s="22">
        <f ca="1">SUMPRODUCT((Input!$K$3:$K$1000=L$2)*(Input!$N$3:$N$1000=$B22)*(Input!$X$3:$X$1000))</f>
        <v>0</v>
      </c>
      <c r="M22" s="22"/>
    </row>
    <row r="23" spans="1:13" x14ac:dyDescent="0.2">
      <c r="A23" s="20"/>
      <c r="B23" s="23"/>
      <c r="C23" s="22"/>
      <c r="D23" s="22"/>
      <c r="E23" s="30"/>
      <c r="F23" s="30"/>
      <c r="G23" s="30"/>
      <c r="H23" s="30"/>
      <c r="I23" s="30"/>
      <c r="J23" s="30"/>
      <c r="K23" s="30"/>
      <c r="L23" s="30"/>
      <c r="M23" s="30"/>
    </row>
    <row r="24" spans="1:13" x14ac:dyDescent="0.2">
      <c r="A24" s="20"/>
      <c r="B24" s="21"/>
      <c r="C24" s="22"/>
      <c r="D24" s="22"/>
      <c r="E24" s="31"/>
      <c r="F24" s="30"/>
      <c r="G24" s="31"/>
      <c r="H24" s="31"/>
      <c r="I24" s="32"/>
      <c r="J24" s="31"/>
      <c r="K24" s="31"/>
      <c r="L24" s="31"/>
      <c r="M24" s="31"/>
    </row>
    <row r="25" spans="1:13" x14ac:dyDescent="0.2">
      <c r="A25" s="20"/>
      <c r="B25" s="23"/>
      <c r="C25" s="22"/>
      <c r="D25" s="22"/>
      <c r="E25" s="30"/>
      <c r="F25" s="30"/>
      <c r="G25" s="30"/>
      <c r="H25" s="30"/>
      <c r="I25" s="30"/>
      <c r="J25" s="30"/>
      <c r="K25" s="30"/>
      <c r="L25" s="30"/>
      <c r="M25" s="30"/>
    </row>
    <row r="26" spans="1:13" x14ac:dyDescent="0.2">
      <c r="A26" s="20"/>
      <c r="B26" s="23"/>
      <c r="C26" s="22"/>
      <c r="D26" s="22"/>
      <c r="E26" s="30"/>
      <c r="F26" s="30"/>
      <c r="G26" s="30"/>
      <c r="H26" s="30"/>
      <c r="I26" s="30"/>
      <c r="J26" s="30"/>
      <c r="K26" s="30"/>
      <c r="L26" s="30"/>
      <c r="M26" s="30"/>
    </row>
    <row r="27" spans="1:13" x14ac:dyDescent="0.2">
      <c r="A27" s="20"/>
      <c r="B27" s="21"/>
      <c r="C27" s="22"/>
      <c r="D27" s="22"/>
      <c r="E27" s="30"/>
      <c r="F27" s="30"/>
      <c r="G27" s="30"/>
      <c r="H27" s="30"/>
      <c r="I27" s="30"/>
      <c r="J27" s="30"/>
      <c r="K27" s="30"/>
      <c r="L27" s="30"/>
      <c r="M27" s="30"/>
    </row>
    <row r="28" spans="1:13" x14ac:dyDescent="0.2">
      <c r="A28" s="20"/>
      <c r="B28" s="21"/>
      <c r="C28" s="22"/>
      <c r="D28" s="22"/>
      <c r="E28" s="30"/>
      <c r="F28" s="30"/>
      <c r="G28" s="30"/>
      <c r="H28" s="30"/>
      <c r="I28" s="30"/>
      <c r="J28" s="30"/>
      <c r="K28" s="30"/>
      <c r="L28" s="30"/>
      <c r="M28" s="30"/>
    </row>
    <row r="29" spans="1:13" x14ac:dyDescent="0.2">
      <c r="A29" s="20"/>
      <c r="B29" s="21"/>
      <c r="C29" s="22"/>
      <c r="D29" s="22"/>
      <c r="E29" s="30"/>
      <c r="F29" s="30"/>
      <c r="G29" s="30"/>
      <c r="H29" s="30"/>
      <c r="I29" s="30"/>
      <c r="J29" s="30"/>
      <c r="K29" s="30"/>
      <c r="L29" s="30"/>
      <c r="M29" s="30"/>
    </row>
  </sheetData>
  <conditionalFormatting sqref="A1:M30">
    <cfRule type="cellIs" dxfId="8" priority="2" operator="equal">
      <formula>0</formula>
    </cfRule>
  </conditionalFormatting>
  <conditionalFormatting sqref="E4:M29">
    <cfRule type="expression" dxfId="7" priority="1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6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8.85546875" customWidth="1"/>
    <col min="2" max="2" width="24.85546875" customWidth="1"/>
    <col min="3" max="3" width="8.42578125" customWidth="1"/>
    <col min="4" max="4" width="6.42578125" customWidth="1"/>
    <col min="5" max="5" width="8.5703125" customWidth="1"/>
    <col min="6" max="6" width="8.42578125" customWidth="1"/>
    <col min="7" max="8" width="8.5703125" customWidth="1"/>
    <col min="9" max="13" width="8.7109375" customWidth="1"/>
  </cols>
  <sheetData>
    <row r="1" spans="1:13" ht="15.75" customHeight="1" x14ac:dyDescent="0.4">
      <c r="A1" s="11" t="s">
        <v>36</v>
      </c>
      <c r="B1" s="11"/>
      <c r="C1" s="12">
        <v>5</v>
      </c>
      <c r="D1" s="11" t="s">
        <v>8</v>
      </c>
      <c r="E1" s="13"/>
      <c r="F1" s="14">
        <f ca="1">COUNTIF(C4:C76,"&gt;"&amp;0)+3</f>
        <v>3</v>
      </c>
      <c r="G1" s="16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ca="1">RANK(C4,$C$4:$C$16)</f>
        <v>1</v>
      </c>
      <c r="B4" s="21"/>
      <c r="C4" s="22">
        <f t="array" aca="1" ref="C4" ca="1">SUM(LARGE(E4:M4,{1,2,3,4,5}))</f>
        <v>0</v>
      </c>
      <c r="D4" s="22">
        <f ca="1">COUNTIF(E4:M4,"&gt;"&amp;0)</f>
        <v>0</v>
      </c>
      <c r="E4" s="22">
        <f ca="1">SUMPRODUCT((Input!$K$3:$K$1000=E$2)*(Input!$N$3:$N$1000=$B4)*(Input!$AH$3:$AH$1000))</f>
        <v>0</v>
      </c>
      <c r="F4" s="22">
        <f ca="1">SUMPRODUCT((Input!$K$3:$K$1000=F$2)*(Input!$N$3:$N$1000=$B4)*(Input!$AH$3:$AH$1000))</f>
        <v>0</v>
      </c>
      <c r="G4" s="22">
        <f ca="1">SUMPRODUCT((Input!$K$3:$K$1000=G$2)*(Input!$N$3:$N$1000=$B4)*(Input!$AH$3:$AH$1000))</f>
        <v>0</v>
      </c>
      <c r="H4" s="22">
        <f ca="1">SUMPRODUCT((Input!$K$3:$K$1000=H$2)*(Input!$N$3:$N$1000=$B4)*(Input!$AH$3:$AH$1000))</f>
        <v>0</v>
      </c>
      <c r="I4" s="22">
        <f ca="1">SUMPRODUCT((Input!$K$3:$K$1000=I$2)*(Input!$N$3:$N$1000=$B4)*(Input!$AH$3:$AH$1000))</f>
        <v>0</v>
      </c>
      <c r="J4" s="22">
        <f ca="1">SUMPRODUCT((Input!$K$3:$K$1000=J$2)*(Input!$N$3:$N$1000=$B4)*(Input!$AH$3:$AH$1000))</f>
        <v>0</v>
      </c>
      <c r="K4" s="22">
        <f ca="1">SUMPRODUCT((Input!$K$3:$K$1000=K$2)*(Input!$N$3:$N$1000=$B4)*(Input!$AH$3:$AH$1000))</f>
        <v>0</v>
      </c>
      <c r="L4" s="22"/>
      <c r="M4" s="22"/>
    </row>
    <row r="5" spans="1:13" x14ac:dyDescent="0.2">
      <c r="A5" s="20"/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20"/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</sheetData>
  <conditionalFormatting sqref="A1:M6">
    <cfRule type="cellIs" dxfId="6" priority="2" operator="equal">
      <formula>0</formula>
    </cfRule>
  </conditionalFormatting>
  <conditionalFormatting sqref="E4:M6">
    <cfRule type="expression" dxfId="5" priority="1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M15"/>
  <sheetViews>
    <sheetView workbookViewId="0">
      <pane ySplit="3" topLeftCell="A4" activePane="bottomLeft" state="frozen"/>
      <selection activeCell="A2" sqref="A2"/>
      <selection pane="bottomLeft" activeCell="A2" sqref="A2"/>
    </sheetView>
  </sheetViews>
  <sheetFormatPr defaultColWidth="12.5703125" defaultRowHeight="15.75" customHeight="1" x14ac:dyDescent="0.2"/>
  <cols>
    <col min="1" max="1" width="29.85546875" bestFit="1" customWidth="1"/>
    <col min="2" max="2" width="5.85546875" bestFit="1" customWidth="1"/>
    <col min="3" max="3" width="5.5703125" bestFit="1" customWidth="1"/>
    <col min="4" max="4" width="15.140625" bestFit="1" customWidth="1"/>
    <col min="5" max="8" width="9.42578125" bestFit="1" customWidth="1"/>
    <col min="9" max="12" width="9.7109375" bestFit="1" customWidth="1"/>
    <col min="13" max="13" width="8.7109375" customWidth="1"/>
  </cols>
  <sheetData>
    <row r="1" spans="1:13" ht="15.75" customHeight="1" x14ac:dyDescent="0.4">
      <c r="A1" s="11" t="s">
        <v>55</v>
      </c>
      <c r="B1" s="11"/>
      <c r="C1" s="12">
        <v>5</v>
      </c>
      <c r="D1" s="11" t="s">
        <v>8</v>
      </c>
      <c r="E1" s="13"/>
      <c r="F1" s="14">
        <f ca="1">COUNTIF(C4:C100,"&gt;"&amp;0)+3</f>
        <v>3</v>
      </c>
      <c r="G1" s="16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6" ca="1" si="2">RANK(C4,$C$4:$C$40)</f>
        <v>1</v>
      </c>
      <c r="B4" s="33"/>
      <c r="C4" s="22">
        <f t="array" aca="1" ref="C4" ca="1">SUM(LARGE(E4:M4,{1,2,3,4,5}))</f>
        <v>0</v>
      </c>
      <c r="D4" s="22">
        <f t="shared" ref="D4:D6" ca="1" si="3">COUNTIF(E4:M4,"&gt;"&amp;0)</f>
        <v>0</v>
      </c>
      <c r="E4" s="22">
        <f ca="1">SUMPRODUCT((Input!$K$3:$K$1000=E$2)*(Input!$N$3:$N$1000=$B4)*(Input!$AB$3:$AB$1000))</f>
        <v>0</v>
      </c>
      <c r="F4" s="22">
        <f ca="1">SUMPRODUCT((Input!$K$3:$K$1000=F$2)*(Input!$N$3:$N$1000=$B4)*(Input!$AB$3:$AB$1000))</f>
        <v>0</v>
      </c>
      <c r="G4" s="22">
        <f ca="1">SUMPRODUCT((Input!$K$3:$K$1000=G$2)*(Input!$N$3:$N$1000=$B4)*(Input!$AB$3:$AB$1000))</f>
        <v>0</v>
      </c>
      <c r="H4" s="22">
        <f ca="1">SUMPRODUCT((Input!$K$3:$K$1000=H$2)*(Input!$N$3:$N$1000=$B4)*(Input!$AB$3:$AB$1000))</f>
        <v>0</v>
      </c>
      <c r="I4" s="22">
        <f ca="1">SUMPRODUCT((Input!$K$3:$K$1000=I$2)*(Input!$N$3:$N$1000=$B4)*(Input!$AB$3:$AB$1000))</f>
        <v>0</v>
      </c>
      <c r="J4" s="22">
        <f ca="1">SUMPRODUCT((Input!$K$3:$K$1000=J$2)*(Input!$N$3:$N$1000=$B4)*(Input!$AB$3:$AB$1000))</f>
        <v>0</v>
      </c>
      <c r="K4" s="22">
        <f ca="1">SUMPRODUCT((Input!$K$3:$K$1000=K$2)*(Input!$N$3:$N$1000=$B4)*(Input!$AB$3:$AB$1000))</f>
        <v>0</v>
      </c>
      <c r="L4" s="22"/>
      <c r="M4" s="22"/>
    </row>
    <row r="5" spans="1:13" x14ac:dyDescent="0.2">
      <c r="A5" s="20">
        <f t="shared" ca="1" si="2"/>
        <v>1</v>
      </c>
      <c r="B5" s="21"/>
      <c r="C5" s="22">
        <f t="array" aca="1" ref="C5" ca="1">SUM(LARGE(E5:M5,{1,2,3,4,5}))</f>
        <v>0</v>
      </c>
      <c r="D5" s="22">
        <f t="shared" ca="1" si="3"/>
        <v>0</v>
      </c>
      <c r="E5" s="22">
        <f ca="1">SUMPRODUCT((Input!$K$3:$K$1000=E$2)*(Input!$N$3:$N$1000=$B5)*(Input!$AB$3:$AB$1000))</f>
        <v>0</v>
      </c>
      <c r="F5" s="22">
        <f ca="1">SUMPRODUCT((Input!$K$3:$K$1000=F$2)*(Input!$N$3:$N$1000=$B5)*(Input!$AB$3:$AB$1000))</f>
        <v>0</v>
      </c>
      <c r="G5" s="22">
        <f ca="1">SUMPRODUCT((Input!$K$3:$K$1000=G$2)*(Input!$N$3:$N$1000=$B5)*(Input!$AB$3:$AB$1000))</f>
        <v>0</v>
      </c>
      <c r="H5" s="22">
        <f ca="1">SUMPRODUCT((Input!$K$3:$K$1000=H$2)*(Input!$N$3:$N$1000=$B5)*(Input!$AB$3:$AB$1000))</f>
        <v>0</v>
      </c>
      <c r="I5" s="22">
        <f ca="1">SUMPRODUCT((Input!$K$3:$K$1000=I$2)*(Input!$N$3:$N$1000=$B5)*(Input!$AB$3:$AB$1000))</f>
        <v>0</v>
      </c>
      <c r="J5" s="22">
        <f ca="1">SUMPRODUCT((Input!$K$3:$K$1000=J$2)*(Input!$N$3:$N$1000=$B5)*(Input!$AB$3:$AB$1000))</f>
        <v>0</v>
      </c>
      <c r="K5" s="22">
        <f ca="1">SUMPRODUCT((Input!$K$3:$K$1000=K$2)*(Input!$N$3:$N$1000=$B5)*(Input!$AB$3:$AB$1000))</f>
        <v>0</v>
      </c>
      <c r="L5" s="22"/>
      <c r="M5" s="22"/>
    </row>
    <row r="6" spans="1:13" x14ac:dyDescent="0.2">
      <c r="A6" s="20">
        <f t="shared" ca="1" si="2"/>
        <v>1</v>
      </c>
      <c r="C6" s="22">
        <f t="array" aca="1" ref="C6" ca="1">SUM(LARGE(E6:M6,{1,2,3,4,5}))</f>
        <v>0</v>
      </c>
      <c r="D6" s="22">
        <f t="shared" ca="1" si="3"/>
        <v>0</v>
      </c>
      <c r="E6" s="22">
        <f ca="1">SUMPRODUCT((Input!$K$3:$K$1000=E$2)*(Input!$N$3:$N$1000=$B6)*(Input!$AB$3:$AB$1000))</f>
        <v>0</v>
      </c>
      <c r="F6" s="22">
        <f ca="1">SUMPRODUCT((Input!$K$3:$K$1000=F$2)*(Input!$N$3:$N$1000=$B6)*(Input!$AB$3:$AB$1000))</f>
        <v>0</v>
      </c>
      <c r="G6" s="22">
        <f ca="1">SUMPRODUCT((Input!$K$3:$K$1000=G$2)*(Input!$N$3:$N$1000=$B6)*(Input!$AB$3:$AB$1000))</f>
        <v>0</v>
      </c>
      <c r="H6" s="22">
        <f ca="1">SUMPRODUCT((Input!$K$3:$K$1000=H$2)*(Input!$N$3:$N$1000=$B6)*(Input!$AB$3:$AB$1000))</f>
        <v>0</v>
      </c>
      <c r="I6" s="22">
        <f ca="1">SUMPRODUCT((Input!$K$3:$K$1000=I$2)*(Input!$N$3:$N$1000=$B6)*(Input!$AB$3:$AB$1000))</f>
        <v>0</v>
      </c>
      <c r="J6" s="22">
        <f ca="1">SUMPRODUCT((Input!$K$3:$K$1000=J$2)*(Input!$N$3:$N$1000=$B6)*(Input!$AB$3:$AB$1000))</f>
        <v>0</v>
      </c>
      <c r="K6" s="22">
        <f ca="1">SUMPRODUCT((Input!$K$3:$K$1000=K$2)*(Input!$N$3:$N$1000=$B6)*(Input!$AB$3:$AB$1000))</f>
        <v>0</v>
      </c>
      <c r="L6" s="22"/>
      <c r="M6" s="22"/>
    </row>
    <row r="7" spans="1:13" x14ac:dyDescent="0.2">
      <c r="A7" s="20"/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20"/>
      <c r="B8" s="21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spans="1:13" x14ac:dyDescent="0.2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</row>
    <row r="11" spans="1:13" x14ac:dyDescent="0.2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</row>
    <row r="12" spans="1:13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</row>
    <row r="13" spans="1:13" x14ac:dyDescent="0.2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spans="1:13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</row>
    <row r="15" spans="1:13" x14ac:dyDescent="0.2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</row>
  </sheetData>
  <conditionalFormatting sqref="A1:M15">
    <cfRule type="cellIs" dxfId="4" priority="3" operator="equal">
      <formula>0</formula>
    </cfRule>
  </conditionalFormatting>
  <conditionalFormatting sqref="B6">
    <cfRule type="expression" dxfId="3" priority="1">
      <formula>CONCATENATE($AJ6,$AK6,$AL6,$AM6)&lt;&gt;""</formula>
    </cfRule>
  </conditionalFormatting>
  <conditionalFormatting sqref="E4:M8">
    <cfRule type="expression" dxfId="2" priority="2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M15"/>
  <sheetViews>
    <sheetView workbookViewId="0">
      <pane ySplit="3" topLeftCell="A4" activePane="bottomLeft" state="frozen"/>
      <selection activeCell="A2" sqref="A2"/>
      <selection pane="bottomLeft" activeCell="A2" sqref="A2"/>
    </sheetView>
  </sheetViews>
  <sheetFormatPr defaultColWidth="12.5703125" defaultRowHeight="15.75" customHeight="1" x14ac:dyDescent="0.2"/>
  <cols>
    <col min="1" max="1" width="8.85546875" customWidth="1"/>
    <col min="2" max="2" width="24.85546875" customWidth="1"/>
    <col min="3" max="3" width="8.42578125" customWidth="1"/>
    <col min="4" max="4" width="6.42578125" customWidth="1"/>
    <col min="5" max="5" width="8.5703125" customWidth="1"/>
    <col min="6" max="6" width="8.42578125" customWidth="1"/>
    <col min="7" max="8" width="8.5703125" customWidth="1"/>
    <col min="9" max="13" width="8.7109375" customWidth="1"/>
  </cols>
  <sheetData>
    <row r="1" spans="1:13" ht="15.75" customHeight="1" x14ac:dyDescent="0.4">
      <c r="A1" s="11" t="s">
        <v>37</v>
      </c>
      <c r="B1" s="11"/>
      <c r="C1" s="12">
        <v>5</v>
      </c>
      <c r="D1" s="11" t="s">
        <v>8</v>
      </c>
      <c r="E1" s="13"/>
      <c r="F1" s="14">
        <f ca="1">COUNTIF(C4:C100,"&gt;"&amp;0)+3</f>
        <v>3</v>
      </c>
      <c r="G1" s="16"/>
      <c r="H1" s="16"/>
      <c r="I1" s="16"/>
      <c r="J1" s="16"/>
      <c r="K1" s="16"/>
      <c r="L1" s="16"/>
      <c r="M1" s="16"/>
    </row>
    <row r="2" spans="1:13" x14ac:dyDescent="0.2">
      <c r="A2" s="17" t="s">
        <v>9</v>
      </c>
      <c r="B2" s="17" t="s">
        <v>10</v>
      </c>
      <c r="C2" s="17" t="s">
        <v>11</v>
      </c>
      <c r="D2" s="17" t="s">
        <v>12</v>
      </c>
      <c r="E2" s="18">
        <v>45815</v>
      </c>
      <c r="F2" s="18">
        <f t="shared" ref="F2:H2" si="0">E2+7</f>
        <v>45822</v>
      </c>
      <c r="G2" s="18">
        <f t="shared" si="0"/>
        <v>45829</v>
      </c>
      <c r="H2" s="18">
        <f t="shared" si="0"/>
        <v>45836</v>
      </c>
      <c r="I2" s="18">
        <v>45906</v>
      </c>
      <c r="J2" s="18">
        <f t="shared" ref="J2:L2" si="1">I2+7</f>
        <v>45913</v>
      </c>
      <c r="K2" s="18">
        <f t="shared" si="1"/>
        <v>45920</v>
      </c>
      <c r="L2" s="18">
        <f t="shared" si="1"/>
        <v>45927</v>
      </c>
      <c r="M2" s="18"/>
    </row>
    <row r="3" spans="1:13" x14ac:dyDescent="0.2">
      <c r="A3" s="19"/>
      <c r="B3" s="19"/>
      <c r="C3" s="19"/>
      <c r="D3" s="19"/>
      <c r="E3" s="17">
        <v>7</v>
      </c>
      <c r="F3" s="17">
        <v>7</v>
      </c>
      <c r="G3" s="17">
        <v>7</v>
      </c>
      <c r="H3" s="17">
        <v>7</v>
      </c>
      <c r="I3" s="17">
        <v>7</v>
      </c>
      <c r="J3" s="17">
        <v>7</v>
      </c>
      <c r="K3" s="17">
        <v>7</v>
      </c>
      <c r="L3" s="17">
        <v>7</v>
      </c>
      <c r="M3" s="17"/>
    </row>
    <row r="4" spans="1:13" x14ac:dyDescent="0.2">
      <c r="A4" s="20">
        <f t="shared" ref="A4:A6" ca="1" si="2">RANK(C4,$C$4:$C$40)</f>
        <v>1</v>
      </c>
      <c r="B4" s="21"/>
      <c r="C4" s="22">
        <f t="array" aca="1" ref="C4" ca="1">SUM(LARGE(E4:M4,{1,2,3,4,5}))</f>
        <v>0</v>
      </c>
      <c r="D4" s="22">
        <f t="shared" ref="D4:D6" ca="1" si="3">COUNTIF(E4:M4,"&gt;"&amp;0)</f>
        <v>0</v>
      </c>
      <c r="E4" s="22">
        <f ca="1">SUMPRODUCT((Input!$K$3:$K$1000=E$2)*(Input!$N$3:$N$1000=$B4)*(Input!$AD$3:$AD$1000))</f>
        <v>0</v>
      </c>
      <c r="F4" s="22">
        <f ca="1">SUMPRODUCT((Input!$K$3:$K$1000=F$2)*(Input!$N$3:$N$1000=$B4)*(Input!$AD$3:$AD$1000))</f>
        <v>0</v>
      </c>
      <c r="G4" s="22">
        <f ca="1">SUMPRODUCT((Input!$K$3:$K$1000=G$2)*(Input!$N$3:$N$1000=$B4)*(Input!$AD$3:$AD$1000))</f>
        <v>0</v>
      </c>
      <c r="H4" s="22">
        <f ca="1">SUMPRODUCT((Input!$K$3:$K$1000=H$2)*(Input!$N$3:$N$1000=$B4)*(Input!$AD$3:$AD$1000))</f>
        <v>0</v>
      </c>
      <c r="I4" s="22">
        <f ca="1">SUMPRODUCT((Input!$K$3:$K$1000=I$2)*(Input!$N$3:$N$1000=$B4)*(Input!$AD$3:$AD$1000))</f>
        <v>0</v>
      </c>
      <c r="J4" s="22">
        <f ca="1">SUMPRODUCT((Input!$K$3:$K$1000=J$2)*(Input!$N$3:$N$1000=$B4)*(Input!$AD$3:$AD$1000))</f>
        <v>0</v>
      </c>
      <c r="K4" s="22">
        <f ca="1">SUMPRODUCT((Input!$K$3:$K$1000=K$2)*(Input!$N$3:$N$1000=$B4)*(Input!$AD$3:$AD$1000))</f>
        <v>0</v>
      </c>
      <c r="L4" s="22"/>
      <c r="M4" s="22"/>
    </row>
    <row r="5" spans="1:13" x14ac:dyDescent="0.2">
      <c r="A5" s="20">
        <f t="shared" ca="1" si="2"/>
        <v>1</v>
      </c>
      <c r="B5" s="21"/>
      <c r="C5" s="22">
        <f t="array" aca="1" ref="C5" ca="1">SUM(LARGE(E5:M5,{1,2,3,4,5}))</f>
        <v>0</v>
      </c>
      <c r="D5" s="22">
        <f t="shared" ca="1" si="3"/>
        <v>0</v>
      </c>
      <c r="E5" s="22">
        <f ca="1">SUMPRODUCT((Input!$K$3:$K$1000=E$2)*(Input!$N$3:$N$1000=$B5)*(Input!$AD$3:$AD$1000))</f>
        <v>0</v>
      </c>
      <c r="F5" s="22">
        <f ca="1">SUMPRODUCT((Input!$K$3:$K$1000=F$2)*(Input!$N$3:$N$1000=$B5)*(Input!$AD$3:$AD$1000))</f>
        <v>0</v>
      </c>
      <c r="G5" s="22">
        <f ca="1">SUMPRODUCT((Input!$K$3:$K$1000=G$2)*(Input!$N$3:$N$1000=$B5)*(Input!$AD$3:$AD$1000))</f>
        <v>0</v>
      </c>
      <c r="H5" s="22">
        <f ca="1">SUMPRODUCT((Input!$K$3:$K$1000=H$2)*(Input!$N$3:$N$1000=$B5)*(Input!$AD$3:$AD$1000))</f>
        <v>0</v>
      </c>
      <c r="I5" s="22">
        <f ca="1">SUMPRODUCT((Input!$K$3:$K$1000=I$2)*(Input!$N$3:$N$1000=$B5)*(Input!$AD$3:$AD$1000))</f>
        <v>0</v>
      </c>
      <c r="J5" s="22">
        <f ca="1">SUMPRODUCT((Input!$K$3:$K$1000=J$2)*(Input!$N$3:$N$1000=$B5)*(Input!$AD$3:$AD$1000))</f>
        <v>0</v>
      </c>
      <c r="K5" s="22">
        <f ca="1">SUMPRODUCT((Input!$K$3:$K$1000=K$2)*(Input!$N$3:$N$1000=$B5)*(Input!$AD$3:$AD$1000))</f>
        <v>0</v>
      </c>
      <c r="L5" s="22"/>
      <c r="M5" s="22"/>
    </row>
    <row r="6" spans="1:13" x14ac:dyDescent="0.2">
      <c r="A6" s="20">
        <f t="shared" ca="1" si="2"/>
        <v>1</v>
      </c>
      <c r="B6" s="23"/>
      <c r="C6" s="22">
        <f t="array" aca="1" ref="C6" ca="1">SUM(LARGE(E6:M6,{1,2,3,4,5}))</f>
        <v>0</v>
      </c>
      <c r="D6" s="22">
        <f t="shared" ca="1" si="3"/>
        <v>0</v>
      </c>
      <c r="E6" s="22">
        <f ca="1">SUMPRODUCT((Input!$K$3:$K$1000=E$2)*(Input!$N$3:$N$1000=$B6)*(Input!$AD$3:$AD$1000))</f>
        <v>0</v>
      </c>
      <c r="F6" s="22">
        <f ca="1">SUMPRODUCT((Input!$K$3:$K$1000=F$2)*(Input!$N$3:$N$1000=$B6)*(Input!$AD$3:$AD$1000))</f>
        <v>0</v>
      </c>
      <c r="G6" s="22">
        <f ca="1">SUMPRODUCT((Input!$K$3:$K$1000=G$2)*(Input!$N$3:$N$1000=$B6)*(Input!$AD$3:$AD$1000))</f>
        <v>0</v>
      </c>
      <c r="H6" s="22">
        <f ca="1">SUMPRODUCT((Input!$K$3:$K$1000=H$2)*(Input!$N$3:$N$1000=$B6)*(Input!$AD$3:$AD$1000))</f>
        <v>0</v>
      </c>
      <c r="I6" s="22">
        <f ca="1">SUMPRODUCT((Input!$K$3:$K$1000=I$2)*(Input!$N$3:$N$1000=$B6)*(Input!$AD$3:$AD$1000))</f>
        <v>0</v>
      </c>
      <c r="J6" s="22">
        <f ca="1">SUMPRODUCT((Input!$K$3:$K$1000=J$2)*(Input!$N$3:$N$1000=$B6)*(Input!$AD$3:$AD$1000))</f>
        <v>0</v>
      </c>
      <c r="K6" s="22">
        <f ca="1">SUMPRODUCT((Input!$K$3:$K$1000=K$2)*(Input!$N$3:$N$1000=$B6)*(Input!$AD$3:$AD$1000))</f>
        <v>0</v>
      </c>
      <c r="L6" s="22"/>
      <c r="M6" s="22"/>
    </row>
    <row r="7" spans="1:13" x14ac:dyDescent="0.2">
      <c r="A7" s="20"/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20"/>
      <c r="B8" s="21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spans="1:13" x14ac:dyDescent="0.2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</row>
    <row r="11" spans="1:13" x14ac:dyDescent="0.2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</row>
    <row r="12" spans="1:13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</row>
    <row r="13" spans="1:13" x14ac:dyDescent="0.2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spans="1:13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</row>
    <row r="15" spans="1:13" x14ac:dyDescent="0.2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</row>
  </sheetData>
  <conditionalFormatting sqref="A1:M15">
    <cfRule type="cellIs" dxfId="1" priority="2" operator="equal">
      <formula>0</formula>
    </cfRule>
  </conditionalFormatting>
  <conditionalFormatting sqref="E4:M8">
    <cfRule type="expression" dxfId="0" priority="1">
      <formula>AND($D4&gt;$C$1,RANK(VALUE(E4),$E4:$M4)+COUNTIF($E4:E4,E4)-1&lt;=$C$1)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K29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12.5703125" customWidth="1"/>
    <col min="2" max="2" width="18.85546875" customWidth="1"/>
    <col min="3" max="3" width="8.42578125" customWidth="1"/>
    <col min="4" max="4" width="14.42578125" customWidth="1"/>
    <col min="5" max="5" width="12.28515625" customWidth="1"/>
    <col min="6" max="6" width="12" customWidth="1"/>
    <col min="7" max="7" width="11.140625" customWidth="1"/>
    <col min="8" max="8" width="11" customWidth="1"/>
    <col min="9" max="9" width="8.85546875" customWidth="1"/>
    <col min="10" max="10" width="24.42578125" customWidth="1"/>
    <col min="11" max="11" width="1.28515625" customWidth="1"/>
  </cols>
  <sheetData>
    <row r="1" spans="1:11" ht="18" x14ac:dyDescent="0.25">
      <c r="A1" s="41">
        <v>45815</v>
      </c>
      <c r="B1" s="42"/>
      <c r="C1" s="42"/>
      <c r="D1" s="42"/>
      <c r="E1" s="42"/>
      <c r="F1" s="42"/>
      <c r="G1" s="42"/>
      <c r="H1" s="42"/>
      <c r="I1" s="42"/>
      <c r="J1" s="42"/>
      <c r="K1" s="34">
        <v>7</v>
      </c>
    </row>
    <row r="2" spans="1:11" ht="18" x14ac:dyDescent="0.25">
      <c r="A2" s="43" t="s">
        <v>38</v>
      </c>
      <c r="B2" s="44"/>
      <c r="C2" s="44"/>
      <c r="D2" s="44"/>
      <c r="E2" s="44"/>
      <c r="F2" s="44"/>
      <c r="G2" s="44"/>
      <c r="H2" s="44"/>
      <c r="I2" s="44"/>
      <c r="J2" s="45"/>
    </row>
    <row r="3" spans="1:11" ht="35.25" customHeight="1" x14ac:dyDescent="0.2">
      <c r="A3" s="35" t="s">
        <v>9</v>
      </c>
      <c r="B3" s="35" t="s">
        <v>39</v>
      </c>
      <c r="C3" s="35" t="s">
        <v>40</v>
      </c>
      <c r="D3" s="35" t="s">
        <v>41</v>
      </c>
      <c r="E3" s="36" t="s">
        <v>42</v>
      </c>
      <c r="F3" s="35" t="s">
        <v>43</v>
      </c>
      <c r="G3" s="35"/>
      <c r="H3" s="35" t="s">
        <v>44</v>
      </c>
      <c r="I3" s="35" t="s">
        <v>45</v>
      </c>
      <c r="J3" s="35" t="s">
        <v>46</v>
      </c>
      <c r="K3" s="37"/>
    </row>
    <row r="4" spans="1:11" ht="12.75" x14ac:dyDescent="0.2">
      <c r="A4" s="38">
        <v>1</v>
      </c>
      <c r="B4" s="38" t="str">
        <f t="array" aca="1" ref="B4" ca="1">IFERROR(INDEX(Input!$N:$N,MATCH(CONCATENATE($A$1,"_Saturday League_",$K$1,"_",$A4),Input!$H:$H,0)),"")</f>
        <v>Marc Brant</v>
      </c>
      <c r="C4" s="38" t="str">
        <f t="shared" ref="C4:C11" ca="1" si="0">IF(B4="","","SW")</f>
        <v>SW</v>
      </c>
      <c r="D4" s="38" t="str">
        <f t="array" aca="1" ref="D4" ca="1">IFERROR(INDEX(Input!$O:$O,MATCH(CONCATENATE($A$1,"_Saturday League_",$K$1,"_",$A4),Input!$H:$H,0)),"")</f>
        <v>Vet</v>
      </c>
      <c r="E4" s="39">
        <f t="array" aca="1" ref="E4" ca="1">IFERROR(INDEX(Input!$P:$P,MATCH(CONCATENATE($A$1,"_Saturday League_",$K$1,"_",$A4),Input!$H:$H,0)),"")</f>
        <v>1.21527777777777E-2</v>
      </c>
      <c r="F4" s="38" t="str">
        <f t="array" aca="1" ref="F4" ca="1">IFERROR(INDEX(Input!$AF:$AF,MATCH(CONCATENATE($A$1,"_Saturday League_",$K$1,"_",$A4),Input!$H:$H,0)),"")</f>
        <v/>
      </c>
      <c r="G4" s="38">
        <f t="array" aca="1" ref="G4" ca="1">IFERROR(INDEX(Input!$T:$T,MATCH(CONCATENATE($A$1,"_Saturday League_",$K$1,"_",$A4),Input!$H:$H,0)),"")</f>
        <v>0</v>
      </c>
      <c r="H4" s="39">
        <f t="array" aca="1" ref="H4" ca="1">IF(OR($D4="Vet",$D4="Woman Vet"),INDEX(Input!$V:$V,MATCH(CONCATENATE($A$1,"_Saturday League_",$K$1,"_",$A4),Input!$H:$H,0)),"")</f>
        <v>1.1771990740740699E-2</v>
      </c>
      <c r="I4" s="38">
        <f t="array" aca="1" ref="I4" ca="1">IF(OR($D4="Vet",$D4="Woman Vet"),INDEX(Input!$W:$W,MATCH(CONCATENATE($A$1,"_Saturday League_",$K$1,"_",$A4),Input!$H:$H,0)),"")</f>
        <v>1</v>
      </c>
      <c r="J4" s="38" t="str">
        <f t="array" aca="1" ref="J4" ca="1">IFERROR(INDEX(Input!$Q:$Q,MATCH(CONCATENATE($A$1,"_Saturday League_",$K$1,"_",$A4),Input!$H:$H,0)),"")</f>
        <v>PB</v>
      </c>
    </row>
    <row r="5" spans="1:11" ht="12.75" x14ac:dyDescent="0.2">
      <c r="A5" s="38">
        <v>2</v>
      </c>
      <c r="B5" s="38" t="str">
        <f t="array" aca="1" ref="B5" ca="1">IFERROR(INDEX(Input!$N:$N,MATCH(CONCATENATE($A$1,"_Saturday League_",$K$1,"_",$A5),Input!$H:$H,0)),"")</f>
        <v>Ben Pennington</v>
      </c>
      <c r="C5" s="38" t="str">
        <f t="shared" ca="1" si="0"/>
        <v>SW</v>
      </c>
      <c r="D5" s="38" t="str">
        <f t="array" aca="1" ref="D5" ca="1">IFERROR(INDEX(Input!$O:$O,MATCH(CONCATENATE($A$1,"_Saturday League_",$K$1,"_",$A5),Input!$H:$H,0)),"")</f>
        <v>Vet</v>
      </c>
      <c r="E5" s="39">
        <f t="array" aca="1" ref="E5" ca="1">IFERROR(INDEX(Input!$P:$P,MATCH(CONCATENATE($A$1,"_Saturday League_",$K$1,"_",$A5),Input!$H:$H,0)),"")</f>
        <v>1.35648148148148E-2</v>
      </c>
      <c r="F5" s="38">
        <f t="array" aca="1" ref="F5" ca="1">IFERROR(INDEX(Input!$AF:$AF,MATCH(CONCATENATE($A$1,"_Saturday League_",$K$1,"_",$A5),Input!$H:$H,0)),"")</f>
        <v>1</v>
      </c>
      <c r="G5" s="38">
        <f t="array" aca="1" ref="G5" ca="1">IFERROR(INDEX(Input!$T:$T,MATCH(CONCATENATE($A$1,"_Saturday League_",$K$1,"_",$A5),Input!$H:$H,0)),"")</f>
        <v>0</v>
      </c>
      <c r="H5" s="39">
        <f t="array" aca="1" ref="H5" ca="1">IF(OR($D5="Vet",$D5="Woman Vet"),INDEX(Input!$V:$V,MATCH(CONCATENATE($A$1,"_Saturday League_",$K$1,"_",$A5),Input!$H:$H,0)),"")</f>
        <v>1.3313657407407401E-2</v>
      </c>
      <c r="I5" s="38">
        <f t="array" aca="1" ref="I5" ca="1">IF(OR($D5="Vet",$D5="Woman Vet"),INDEX(Input!$W:$W,MATCH(CONCATENATE($A$1,"_Saturday League_",$K$1,"_",$A5),Input!$H:$H,0)),"")</f>
        <v>3</v>
      </c>
      <c r="J5" s="38" t="str">
        <f t="array" aca="1" ref="J5" ca="1">IFERROR(INDEX(Input!$Q:$Q,MATCH(CONCATENATE($A$1,"_Saturday League_",$K$1,"_",$A5),Input!$H:$H,0)),"")</f>
        <v>Non-aero PB</v>
      </c>
    </row>
    <row r="6" spans="1:11" ht="12.75" x14ac:dyDescent="0.2">
      <c r="A6" s="38">
        <v>3</v>
      </c>
      <c r="B6" s="38" t="str">
        <f t="array" aca="1" ref="B6" ca="1">IFERROR(INDEX(Input!$N:$N,MATCH(CONCATENATE($A$1,"_Saturday League_",$K$1,"_",$A6),Input!$H:$H,0)),"")</f>
        <v>Danny Jago</v>
      </c>
      <c r="C6" s="38" t="str">
        <f t="shared" ca="1" si="0"/>
        <v>SW</v>
      </c>
      <c r="D6" s="38" t="str">
        <f t="array" aca="1" ref="D6" ca="1">IFERROR(INDEX(Input!$O:$O,MATCH(CONCATENATE($A$1,"_Saturday League_",$K$1,"_",$A6),Input!$H:$H,0)),"")</f>
        <v>Vet</v>
      </c>
      <c r="E6" s="39">
        <f t="array" aca="1" ref="E6" ca="1">IFERROR(INDEX(Input!$P:$P,MATCH(CONCATENATE($A$1,"_Saturday League_",$K$1,"_",$A6),Input!$H:$H,0)),"")</f>
        <v>1.4502314814814799E-2</v>
      </c>
      <c r="F6" s="38">
        <f t="array" aca="1" ref="F6" ca="1">IFERROR(INDEX(Input!$AF:$AF,MATCH(CONCATENATE($A$1,"_Saturday League_",$K$1,"_",$A6),Input!$H:$H,0)),"")</f>
        <v>2</v>
      </c>
      <c r="G6" s="38">
        <f t="array" aca="1" ref="G6" ca="1">IFERROR(INDEX(Input!$T:$T,MATCH(CONCATENATE($A$1,"_Saturday League_",$K$1,"_",$A6),Input!$H:$H,0)),"")</f>
        <v>0</v>
      </c>
      <c r="H6" s="39">
        <f t="array" aca="1" ref="H6" ca="1">IF(OR($D6="Vet",$D6="Woman Vet"),INDEX(Input!$V:$V,MATCH(CONCATENATE($A$1,"_Saturday League_",$K$1,"_",$A6),Input!$H:$H,0)),"")</f>
        <v>1.43888888888888E-2</v>
      </c>
      <c r="I6" s="38">
        <f t="array" aca="1" ref="I6" ca="1">IF(OR($D6="Vet",$D6="Woman Vet"),INDEX(Input!$W:$W,MATCH(CONCATENATE($A$1,"_Saturday League_",$K$1,"_",$A6),Input!$H:$H,0)),"")</f>
        <v>7</v>
      </c>
      <c r="J6" s="38" t="str">
        <f t="array" aca="1" ref="J6" ca="1">IFERROR(INDEX(Input!$Q:$Q,MATCH(CONCATENATE($A$1,"_Saturday League_",$K$1,"_",$A6),Input!$H:$H,0)),"")</f>
        <v>Non-aero First 7 mile TT</v>
      </c>
    </row>
    <row r="7" spans="1:11" ht="12.75" x14ac:dyDescent="0.2">
      <c r="A7" s="38">
        <v>4</v>
      </c>
      <c r="B7" s="38" t="str">
        <f t="array" aca="1" ref="B7" ca="1">IFERROR(INDEX(Input!$N:$N,MATCH(CONCATENATE($A$1,"_Saturday League_",$K$1,"_",$A7),Input!$H:$H,0)),"")</f>
        <v>Stuart Jago</v>
      </c>
      <c r="C7" s="38" t="str">
        <f t="shared" ca="1" si="0"/>
        <v>SW</v>
      </c>
      <c r="D7" s="38" t="str">
        <f t="array" aca="1" ref="D7" ca="1">IFERROR(INDEX(Input!$O:$O,MATCH(CONCATENATE($A$1,"_Saturday League_",$K$1,"_",$A7),Input!$H:$H,0)),"")</f>
        <v>Vet</v>
      </c>
      <c r="E7" s="39">
        <f t="array" aca="1" ref="E7" ca="1">IFERROR(INDEX(Input!$P:$P,MATCH(CONCATENATE($A$1,"_Saturday League_",$K$1,"_",$A7),Input!$H:$H,0)),"")</f>
        <v>1.5324074074074E-2</v>
      </c>
      <c r="F7" s="38">
        <f t="array" aca="1" ref="F7" ca="1">IFERROR(INDEX(Input!$AF:$AF,MATCH(CONCATENATE($A$1,"_Saturday League_",$K$1,"_",$A7),Input!$H:$H,0)),"")</f>
        <v>3</v>
      </c>
      <c r="G7" s="38">
        <f t="array" aca="1" ref="G7" ca="1">IFERROR(INDEX(Input!$T:$T,MATCH(CONCATENATE($A$1,"_Saturday League_",$K$1,"_",$A7),Input!$H:$H,0)),"")</f>
        <v>0</v>
      </c>
      <c r="H7" s="39">
        <f t="array" aca="1" ref="H7" ca="1">IF(OR($D7="Vet",$D7="Woman Vet"),INDEX(Input!$V:$V,MATCH(CONCATENATE($A$1,"_Saturday League_",$K$1,"_",$A7),Input!$H:$H,0)),"")</f>
        <v>1.33391203703703E-2</v>
      </c>
      <c r="I7" s="38">
        <f t="array" aca="1" ref="I7" ca="1">IF(OR($D7="Vet",$D7="Woman Vet"),INDEX(Input!$W:$W,MATCH(CONCATENATE($A$1,"_Saturday League_",$K$1,"_",$A7),Input!$H:$H,0)),"")</f>
        <v>4</v>
      </c>
      <c r="J7" s="38" t="str">
        <f t="array" aca="1" ref="J7" ca="1">IFERROR(INDEX(Input!$Q:$Q,MATCH(CONCATENATE($A$1,"_Saturday League_",$K$1,"_",$A7),Input!$H:$H,0)),"")</f>
        <v>Non-aero</v>
      </c>
    </row>
    <row r="8" spans="1:11" ht="12.75" x14ac:dyDescent="0.2">
      <c r="A8" s="38">
        <v>5</v>
      </c>
      <c r="B8" s="38" t="str">
        <f t="array" aca="1" ref="B8" ca="1">IFERROR(INDEX(Input!$N:$N,MATCH(CONCATENATE($A$1,"_Saturday League_",$K$1,"_",$A8),Input!$H:$H,0)),"")</f>
        <v>Simon Smith</v>
      </c>
      <c r="C8" s="38" t="str">
        <f t="shared" ca="1" si="0"/>
        <v>SW</v>
      </c>
      <c r="D8" s="38" t="str">
        <f t="array" aca="1" ref="D8" ca="1">IFERROR(INDEX(Input!$O:$O,MATCH(CONCATENATE($A$1,"_Saturday League_",$K$1,"_",$A8),Input!$H:$H,0)),"")</f>
        <v>Vet</v>
      </c>
      <c r="E8" s="39">
        <f t="array" aca="1" ref="E8" ca="1">IFERROR(INDEX(Input!$P:$P,MATCH(CONCATENATE($A$1,"_Saturday League_",$K$1,"_",$A8),Input!$H:$H,0)),"")</f>
        <v>1.54398148148148E-2</v>
      </c>
      <c r="F8" s="38">
        <f t="array" aca="1" ref="F8" ca="1">IFERROR(INDEX(Input!$AF:$AF,MATCH(CONCATENATE($A$1,"_Saturday League_",$K$1,"_",$A8),Input!$H:$H,0)),"")</f>
        <v>4</v>
      </c>
      <c r="G8" s="38">
        <f t="array" aca="1" ref="G8" ca="1">IFERROR(INDEX(Input!$T:$T,MATCH(CONCATENATE($A$1,"_Saturday League_",$K$1,"_",$A8),Input!$H:$H,0)),"")</f>
        <v>0</v>
      </c>
      <c r="H8" s="39">
        <f t="array" aca="1" ref="H8" ca="1">IF(OR($D8="Vet",$D8="Woman Vet"),INDEX(Input!$V:$V,MATCH(CONCATENATE($A$1,"_Saturday League_",$K$1,"_",$A8),Input!$H:$H,0)),"")</f>
        <v>1.43055555555555E-2</v>
      </c>
      <c r="I8" s="38">
        <f t="array" aca="1" ref="I8" ca="1">IF(OR($D8="Vet",$D8="Woman Vet"),INDEX(Input!$W:$W,MATCH(CONCATENATE($A$1,"_Saturday League_",$K$1,"_",$A8),Input!$H:$H,0)),"")</f>
        <v>6</v>
      </c>
      <c r="J8" s="38" t="str">
        <f t="array" aca="1" ref="J8" ca="1">IFERROR(INDEX(Input!$Q:$Q,MATCH(CONCATENATE($A$1,"_Saturday League_",$K$1,"_",$A8),Input!$H:$H,0)),"")</f>
        <v>Non-aero</v>
      </c>
    </row>
    <row r="9" spans="1:11" ht="12.75" x14ac:dyDescent="0.2">
      <c r="A9" s="38">
        <v>6</v>
      </c>
      <c r="B9" s="38" t="str">
        <f t="array" aca="1" ref="B9" ca="1">IFERROR(INDEX(Input!$N:$N,MATCH(CONCATENATE($A$1,"_Saturday League_",$K$1,"_",$A9),Input!$H:$H,0)),"")</f>
        <v>Simon Gretton</v>
      </c>
      <c r="C9" s="38" t="str">
        <f t="shared" ca="1" si="0"/>
        <v>SW</v>
      </c>
      <c r="D9" s="38" t="str">
        <f t="array" aca="1" ref="D9" ca="1">IFERROR(INDEX(Input!$O:$O,MATCH(CONCATENATE($A$1,"_Saturday League_",$K$1,"_",$A9),Input!$H:$H,0)),"")</f>
        <v>Vet</v>
      </c>
      <c r="E9" s="39">
        <f t="array" aca="1" ref="E9" ca="1">IFERROR(INDEX(Input!$P:$P,MATCH(CONCATENATE($A$1,"_Saturday League_",$K$1,"_",$A9),Input!$H:$H,0)),"")</f>
        <v>1.5578703703703701E-2</v>
      </c>
      <c r="F9" s="38">
        <f t="array" aca="1" ref="F9" ca="1">IFERROR(INDEX(Input!$AF:$AF,MATCH(CONCATENATE($A$1,"_Saturday League_",$K$1,"_",$A9),Input!$H:$H,0)),"")</f>
        <v>5</v>
      </c>
      <c r="G9" s="38">
        <f t="array" aca="1" ref="G9" ca="1">IFERROR(INDEX(Input!$T:$T,MATCH(CONCATENATE($A$1,"_Saturday League_",$K$1,"_",$A9),Input!$H:$H,0)),"")</f>
        <v>0</v>
      </c>
      <c r="H9" s="39">
        <f t="array" aca="1" ref="H9" ca="1">IF(OR($D9="Vet",$D9="Woman Vet"),INDEX(Input!$V:$V,MATCH(CONCATENATE($A$1,"_Saturday League_",$K$1,"_",$A9),Input!$H:$H,0)),"")</f>
        <v>1.3107638888888801E-2</v>
      </c>
      <c r="I9" s="38">
        <f t="array" aca="1" ref="I9" ca="1">IF(OR($D9="Vet",$D9="Woman Vet"),INDEX(Input!$W:$W,MATCH(CONCATENATE($A$1,"_Saturday League_",$K$1,"_",$A9),Input!$H:$H,0)),"")</f>
        <v>2</v>
      </c>
      <c r="J9" s="38" t="str">
        <f t="array" aca="1" ref="J9" ca="1">IFERROR(INDEX(Input!$Q:$Q,MATCH(CONCATENATE($A$1,"_Saturday League_",$K$1,"_",$A9),Input!$H:$H,0)),"")</f>
        <v>Non-aero PB</v>
      </c>
    </row>
    <row r="10" spans="1:11" ht="12.75" x14ac:dyDescent="0.2">
      <c r="A10" s="38">
        <v>7</v>
      </c>
      <c r="B10" s="38" t="str">
        <f t="array" aca="1" ref="B10" ca="1">IFERROR(INDEX(Input!$N:$N,MATCH(CONCATENATE($A$1,"_Saturday League_",$K$1,"_",$A10),Input!$H:$H,0)),"")</f>
        <v>Chris Smith</v>
      </c>
      <c r="C10" s="38" t="str">
        <f t="shared" ca="1" si="0"/>
        <v>SW</v>
      </c>
      <c r="D10" s="38" t="str">
        <f t="array" aca="1" ref="D10" ca="1">IFERROR(INDEX(Input!$O:$O,MATCH(CONCATENATE($A$1,"_Saturday League_",$K$1,"_",$A10),Input!$H:$H,0)),"")</f>
        <v>Vet</v>
      </c>
      <c r="E10" s="39">
        <f t="array" aca="1" ref="E10" ca="1">IFERROR(INDEX(Input!$P:$P,MATCH(CONCATENATE($A$1,"_Saturday League_",$K$1,"_",$A10),Input!$H:$H,0)),"")</f>
        <v>1.58680555555555E-2</v>
      </c>
      <c r="F10" s="38">
        <f t="array" aca="1" ref="F10" ca="1">IFERROR(INDEX(Input!$AF:$AF,MATCH(CONCATENATE($A$1,"_Saturday League_",$K$1,"_",$A10),Input!$H:$H,0)),"")</f>
        <v>6</v>
      </c>
      <c r="G10" s="38">
        <f t="array" aca="1" ref="G10" ca="1">IFERROR(INDEX(Input!$T:$T,MATCH(CONCATENATE($A$1,"_Saturday League_",$K$1,"_",$A10),Input!$H:$H,0)),"")</f>
        <v>0</v>
      </c>
      <c r="H10" s="39">
        <f t="array" aca="1" ref="H10" ca="1">IF(OR($D10="Vet",$D10="Woman Vet"),INDEX(Input!$V:$V,MATCH(CONCATENATE($A$1,"_Saturday League_",$K$1,"_",$A10),Input!$H:$H,0)),"")</f>
        <v>1.4887731481481399E-2</v>
      </c>
      <c r="I10" s="38">
        <f t="array" aca="1" ref="I10" ca="1">IF(OR($D10="Vet",$D10="Woman Vet"),INDEX(Input!$W:$W,MATCH(CONCATENATE($A$1,"_Saturday League_",$K$1,"_",$A10),Input!$H:$H,0)),"")</f>
        <v>8</v>
      </c>
      <c r="J10" s="38" t="str">
        <f t="array" aca="1" ref="J10" ca="1">IFERROR(INDEX(Input!$Q:$Q,MATCH(CONCATENATE($A$1,"_Saturday League_",$K$1,"_",$A10),Input!$H:$H,0)),"")</f>
        <v>Non-aero</v>
      </c>
    </row>
    <row r="11" spans="1:11" ht="12.75" x14ac:dyDescent="0.2">
      <c r="A11" s="38">
        <v>8</v>
      </c>
      <c r="B11" s="38" t="str">
        <f t="array" aca="1" ref="B11" ca="1">IFERROR(INDEX(Input!$N:$N,MATCH(CONCATENATE($A$1,"_Saturday League_",$K$1,"_",$A11),Input!$H:$H,0)),"")</f>
        <v>Carol Cartwright</v>
      </c>
      <c r="C11" s="38" t="str">
        <f t="shared" ca="1" si="0"/>
        <v>SW</v>
      </c>
      <c r="D11" s="38" t="str">
        <f t="array" aca="1" ref="D11" ca="1">IFERROR(INDEX(Input!$O:$O,MATCH(CONCATENATE($A$1,"_Saturday League_",$K$1,"_",$A11),Input!$H:$H,0)),"")</f>
        <v>Woman Vet</v>
      </c>
      <c r="E11" s="39">
        <f t="array" aca="1" ref="E11" ca="1">IFERROR(INDEX(Input!$P:$P,MATCH(CONCATENATE($A$1,"_Saturday League_",$K$1,"_",$A11),Input!$H:$H,0)),"")</f>
        <v>1.7476851851851799E-2</v>
      </c>
      <c r="F11" s="38">
        <f t="array" aca="1" ref="F11" ca="1">IFERROR(INDEX(Input!$AF:$AF,MATCH(CONCATENATE($A$1,"_Saturday League_",$K$1,"_",$A11),Input!$H:$H,0)),"")</f>
        <v>7</v>
      </c>
      <c r="G11" s="38">
        <f t="array" aca="1" ref="G11" ca="1">IFERROR(INDEX(Input!$T:$T,MATCH(CONCATENATE($A$1,"_Saturday League_",$K$1,"_",$A11),Input!$H:$H,0)),"")</f>
        <v>0</v>
      </c>
      <c r="H11" s="39">
        <f t="array" aca="1" ref="H11" ca="1">IF(OR($D11="Vet",$D11="Woman Vet"),INDEX(Input!$V:$V,MATCH(CONCATENATE($A$1,"_Saturday League_",$K$1,"_",$A11),Input!$H:$H,0)),"")</f>
        <v>1.4082175925925901E-2</v>
      </c>
      <c r="I11" s="38">
        <f t="array" aca="1" ref="I11" ca="1">IF(OR($D11="Vet",$D11="Woman Vet"),INDEX(Input!$W:$W,MATCH(CONCATENATE($A$1,"_Saturday League_",$K$1,"_",$A11),Input!$H:$H,0)),"")</f>
        <v>5</v>
      </c>
      <c r="J11" s="38" t="str">
        <f t="array" aca="1" ref="J11" ca="1">IFERROR(INDEX(Input!$Q:$Q,MATCH(CONCATENATE($A$1,"_Saturday League_",$K$1,"_",$A11),Input!$H:$H,0)),"")</f>
        <v>Non-aero Age Record</v>
      </c>
    </row>
    <row r="12" spans="1:11" ht="12.75" x14ac:dyDescent="0.2">
      <c r="A12" s="38"/>
      <c r="B12" s="38"/>
      <c r="C12" s="38"/>
      <c r="D12" s="38"/>
      <c r="E12" s="39"/>
      <c r="F12" s="38"/>
      <c r="G12" s="38"/>
      <c r="H12" s="38"/>
      <c r="I12" s="38"/>
      <c r="J12" s="38"/>
    </row>
    <row r="13" spans="1:11" ht="12.75" x14ac:dyDescent="0.2">
      <c r="A13" s="38"/>
      <c r="B13" s="38"/>
      <c r="C13" s="46"/>
      <c r="D13" s="45"/>
      <c r="E13" s="39"/>
      <c r="F13" s="38"/>
      <c r="G13" s="38"/>
      <c r="H13" s="38"/>
      <c r="I13" s="38"/>
      <c r="J13" s="38"/>
    </row>
    <row r="14" spans="1:11" ht="12.75" x14ac:dyDescent="0.2">
      <c r="A14" s="38"/>
      <c r="B14" s="38"/>
      <c r="C14" s="46"/>
      <c r="D14" s="45"/>
      <c r="E14" s="39"/>
      <c r="F14" s="38"/>
      <c r="G14" s="38"/>
      <c r="H14" s="38"/>
      <c r="I14" s="38"/>
      <c r="J14" s="38"/>
    </row>
    <row r="15" spans="1:11" ht="12.75" x14ac:dyDescent="0.2">
      <c r="A15" s="38"/>
      <c r="B15" s="38"/>
      <c r="C15" s="46"/>
      <c r="D15" s="45"/>
      <c r="E15" s="39"/>
      <c r="F15" s="38"/>
      <c r="G15" s="38"/>
      <c r="H15" s="38"/>
      <c r="I15" s="38"/>
      <c r="J15" s="38"/>
    </row>
    <row r="16" spans="1:11" ht="12.75" x14ac:dyDescent="0.2">
      <c r="A16" s="38"/>
      <c r="B16" s="38"/>
      <c r="C16" s="38"/>
      <c r="D16" s="38"/>
      <c r="E16" s="39"/>
      <c r="F16" s="38"/>
      <c r="G16" s="38"/>
      <c r="H16" s="38"/>
      <c r="I16" s="38"/>
      <c r="J16" s="38"/>
    </row>
    <row r="17" spans="1:10" ht="12.75" x14ac:dyDescent="0.2">
      <c r="A17" s="38"/>
      <c r="B17" s="38"/>
      <c r="C17" s="38"/>
      <c r="D17" s="38"/>
      <c r="E17" s="39"/>
      <c r="F17" s="38"/>
      <c r="G17" s="38"/>
      <c r="H17" s="38"/>
      <c r="I17" s="38"/>
      <c r="J17" s="38"/>
    </row>
    <row r="18" spans="1:10" ht="12.75" x14ac:dyDescent="0.2">
      <c r="A18" s="38"/>
      <c r="B18" s="38"/>
      <c r="C18" s="38"/>
      <c r="D18" s="38"/>
      <c r="E18" s="39"/>
      <c r="F18" s="38"/>
      <c r="G18" s="38"/>
      <c r="H18" s="38"/>
      <c r="I18" s="38"/>
      <c r="J18" s="38"/>
    </row>
    <row r="19" spans="1:10" ht="12.75" x14ac:dyDescent="0.2">
      <c r="A19" s="38"/>
      <c r="B19" s="38"/>
      <c r="C19" s="38"/>
      <c r="D19" s="38"/>
      <c r="E19" s="39"/>
      <c r="F19" s="38"/>
      <c r="G19" s="38"/>
      <c r="H19" s="38"/>
      <c r="I19" s="38"/>
      <c r="J19" s="38"/>
    </row>
    <row r="20" spans="1:10" ht="12.75" x14ac:dyDescent="0.2">
      <c r="A20" s="38"/>
      <c r="B20" s="38"/>
      <c r="C20" s="38"/>
      <c r="D20" s="38"/>
      <c r="E20" s="39"/>
      <c r="F20" s="38"/>
      <c r="G20" s="38"/>
      <c r="H20" s="38"/>
      <c r="I20" s="38"/>
      <c r="J20" s="38"/>
    </row>
    <row r="21" spans="1:10" ht="12.75" x14ac:dyDescent="0.2">
      <c r="A21" s="38"/>
      <c r="B21" s="38"/>
      <c r="C21" s="38"/>
      <c r="D21" s="38"/>
      <c r="E21" s="39"/>
      <c r="F21" s="38"/>
      <c r="G21" s="38"/>
      <c r="H21" s="38"/>
      <c r="I21" s="38"/>
      <c r="J21" s="38"/>
    </row>
    <row r="22" spans="1:10" ht="12.75" x14ac:dyDescent="0.2">
      <c r="A22" s="38"/>
      <c r="B22" s="38"/>
      <c r="C22" s="38"/>
      <c r="D22" s="38"/>
      <c r="E22" s="39"/>
      <c r="F22" s="38"/>
      <c r="G22" s="38"/>
      <c r="H22" s="38"/>
      <c r="I22" s="38"/>
      <c r="J22" s="38"/>
    </row>
    <row r="23" spans="1:10" ht="12.75" x14ac:dyDescent="0.2">
      <c r="A23" s="38"/>
      <c r="B23" s="38"/>
      <c r="C23" s="38"/>
      <c r="D23" s="38"/>
      <c r="E23" s="39"/>
      <c r="F23" s="38"/>
      <c r="G23" s="38"/>
      <c r="H23" s="38"/>
      <c r="I23" s="38"/>
      <c r="J23" s="38"/>
    </row>
    <row r="24" spans="1:10" ht="12.75" x14ac:dyDescent="0.2">
      <c r="A24" s="38"/>
      <c r="B24" s="21"/>
      <c r="C24" s="21"/>
      <c r="D24" s="21"/>
      <c r="E24" s="40"/>
      <c r="F24" s="21"/>
      <c r="G24" s="21"/>
      <c r="H24" s="21"/>
      <c r="I24" s="21"/>
      <c r="J24" s="21"/>
    </row>
    <row r="25" spans="1:10" ht="12.75" x14ac:dyDescent="0.2">
      <c r="A25" s="38"/>
      <c r="B25" s="21"/>
      <c r="C25" s="21"/>
      <c r="D25" s="21"/>
      <c r="E25" s="40"/>
      <c r="F25" s="21"/>
      <c r="G25" s="21"/>
      <c r="H25" s="21"/>
      <c r="I25" s="21"/>
      <c r="J25" s="21"/>
    </row>
    <row r="26" spans="1:10" ht="12.75" x14ac:dyDescent="0.2">
      <c r="A26" s="38"/>
      <c r="B26" s="21"/>
      <c r="C26" s="21"/>
      <c r="D26" s="21"/>
      <c r="E26" s="40"/>
      <c r="F26" s="21"/>
      <c r="G26" s="21"/>
      <c r="H26" s="21"/>
      <c r="I26" s="21"/>
      <c r="J26" s="21"/>
    </row>
    <row r="27" spans="1:10" ht="12.75" x14ac:dyDescent="0.2">
      <c r="A27" s="38"/>
      <c r="B27" s="21"/>
      <c r="C27" s="21"/>
      <c r="D27" s="21"/>
      <c r="E27" s="40"/>
      <c r="F27" s="21"/>
      <c r="G27" s="21"/>
      <c r="H27" s="21"/>
      <c r="I27" s="21"/>
      <c r="J27" s="21"/>
    </row>
    <row r="28" spans="1:10" ht="12.75" x14ac:dyDescent="0.2">
      <c r="A28" s="38"/>
      <c r="B28" s="21"/>
      <c r="C28" s="21"/>
      <c r="D28" s="21"/>
      <c r="E28" s="40"/>
      <c r="F28" s="21"/>
      <c r="G28" s="21"/>
      <c r="H28" s="21"/>
      <c r="I28" s="21"/>
      <c r="J28" s="21"/>
    </row>
    <row r="29" spans="1:10" ht="12.75" x14ac:dyDescent="0.2">
      <c r="A29" s="38"/>
      <c r="B29" s="21"/>
      <c r="C29" s="21"/>
      <c r="D29" s="21"/>
      <c r="E29" s="40"/>
      <c r="F29" s="21"/>
      <c r="G29" s="21"/>
      <c r="H29" s="21"/>
      <c r="I29" s="21"/>
      <c r="J29" s="21"/>
    </row>
  </sheetData>
  <mergeCells count="5">
    <mergeCell ref="A1:J1"/>
    <mergeCell ref="A2:J2"/>
    <mergeCell ref="C13:D13"/>
    <mergeCell ref="C14:D14"/>
    <mergeCell ref="C15:D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Input</vt:lpstr>
      <vt:lpstr>Lge_Scratch</vt:lpstr>
      <vt:lpstr>Lge_Women</vt:lpstr>
      <vt:lpstr>Lge_NonAero</vt:lpstr>
      <vt:lpstr>Lge_Vets</vt:lpstr>
      <vt:lpstr>Lge_HandCycles</vt:lpstr>
      <vt:lpstr>Lge_Junior</vt:lpstr>
      <vt:lpstr>Lge_Youth</vt:lpstr>
      <vt:lpstr>07 Jun</vt:lpstr>
      <vt:lpstr>14 Jun</vt:lpstr>
      <vt:lpstr>21Jun</vt:lpstr>
      <vt:lpstr>28 Jun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Matthew Stock</cp:lastModifiedBy>
  <dcterms:modified xsi:type="dcterms:W3CDTF">2025-08-14T06:21:09Z</dcterms:modified>
</cp:coreProperties>
</file>