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MatthewStock\Downloads\"/>
    </mc:Choice>
  </mc:AlternateContent>
  <xr:revisionPtr revIDLastSave="0" documentId="13_ncr:1_{A352742D-5607-4154-AEF1-68D98AA90A5D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Lge_Scratch" sheetId="1" r:id="rId1"/>
    <sheet name="Lge_NonAero" sheetId="2" r:id="rId2"/>
    <sheet name="Lge_Handicap" sheetId="3" r:id="rId3"/>
    <sheet name="Lge_Womens" sheetId="4" r:id="rId4"/>
    <sheet name="Lge_Veterans" sheetId="5" r:id="rId5"/>
    <sheet name="Lge_Junior" sheetId="6" r:id="rId6"/>
    <sheet name="Lge_Youth" sheetId="7" r:id="rId7"/>
    <sheet name="Input" sheetId="8" state="hidden" r:id="rId8"/>
    <sheet name="06 Apr" sheetId="9" r:id="rId9"/>
    <sheet name="18 Apr" sheetId="10" r:id="rId10"/>
    <sheet name="21 Apr" sheetId="11" r:id="rId11"/>
    <sheet name="08 Jun" sheetId="12" r:id="rId12"/>
    <sheet name="01 Jun" sheetId="13" r:id="rId13"/>
    <sheet name="29 Jun" sheetId="14" r:id="rId14"/>
    <sheet name="25 May" sheetId="15" r:id="rId15"/>
    <sheet name="20 Jul" sheetId="16" r:id="rId16"/>
    <sheet name="27 Jul" sheetId="17" r:id="rId17"/>
    <sheet name="16 Aug" sheetId="18" state="hidden" r:id="rId18"/>
    <sheet name="28 Sep" sheetId="19" state="hidden" r:id="rId19"/>
    <sheet name="15 Dec" sheetId="20" state="hidden" r:id="rId20"/>
    <sheet name="22 June" sheetId="21" state="hidden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1" l="1"/>
  <c r="I4" i="21" a="1"/>
  <c r="I4" i="21" s="1"/>
  <c r="H29" i="20"/>
  <c r="H27" i="20"/>
  <c r="H26" i="20"/>
  <c r="H25" i="20"/>
  <c r="H24" i="20"/>
  <c r="H23" i="20"/>
  <c r="H22" i="20"/>
  <c r="H21" i="20"/>
  <c r="H20" i="20"/>
  <c r="H19" i="20"/>
  <c r="H18" i="20"/>
  <c r="H17" i="20"/>
  <c r="H16" i="20"/>
  <c r="J14" i="20"/>
  <c r="J13" i="20"/>
  <c r="J12" i="20"/>
  <c r="J11" i="20"/>
  <c r="J10" i="20"/>
  <c r="J9" i="20"/>
  <c r="J8" i="20"/>
  <c r="J7" i="20"/>
  <c r="J6" i="20"/>
  <c r="J5" i="20"/>
  <c r="J4" i="20"/>
  <c r="J11" i="16" a="1"/>
  <c r="J11" i="16" s="1"/>
  <c r="I11" i="16" a="1"/>
  <c r="I11" i="16" s="1"/>
  <c r="J10" i="16" a="1"/>
  <c r="J10" i="16" s="1"/>
  <c r="I10" i="16" a="1"/>
  <c r="I10" i="16" s="1"/>
  <c r="J9" i="16" a="1"/>
  <c r="J9" i="16" s="1"/>
  <c r="I9" i="16" a="1"/>
  <c r="I9" i="16" s="1"/>
  <c r="A5" i="12"/>
  <c r="A5" i="11"/>
  <c r="A6" i="11" s="1"/>
  <c r="A7" i="11" s="1"/>
  <c r="A8" i="11" s="1"/>
  <c r="A9" i="11" s="1"/>
  <c r="A7" i="10"/>
  <c r="A6" i="10"/>
  <c r="A5" i="10"/>
  <c r="G93" i="8"/>
  <c r="F93" i="8"/>
  <c r="E93" i="8"/>
  <c r="D93" i="8"/>
  <c r="C93" i="8"/>
  <c r="B93" i="8"/>
  <c r="A93" i="8"/>
  <c r="G92" i="8"/>
  <c r="F92" i="8"/>
  <c r="E92" i="8"/>
  <c r="D92" i="8"/>
  <c r="C92" i="8"/>
  <c r="B92" i="8"/>
  <c r="A92" i="8"/>
  <c r="G91" i="8"/>
  <c r="F91" i="8"/>
  <c r="E91" i="8"/>
  <c r="D91" i="8"/>
  <c r="C91" i="8"/>
  <c r="B91" i="8"/>
  <c r="A91" i="8"/>
  <c r="G90" i="8"/>
  <c r="F90" i="8"/>
  <c r="E90" i="8"/>
  <c r="D90" i="8"/>
  <c r="C90" i="8"/>
  <c r="B90" i="8"/>
  <c r="A90" i="8"/>
  <c r="G89" i="8"/>
  <c r="F89" i="8"/>
  <c r="E89" i="8"/>
  <c r="D89" i="8"/>
  <c r="C89" i="8"/>
  <c r="B89" i="8"/>
  <c r="A89" i="8"/>
  <c r="G88" i="8"/>
  <c r="F88" i="8"/>
  <c r="E88" i="8"/>
  <c r="D88" i="8"/>
  <c r="C88" i="8"/>
  <c r="B88" i="8"/>
  <c r="A88" i="8"/>
  <c r="G87" i="8"/>
  <c r="F87" i="8"/>
  <c r="E87" i="8"/>
  <c r="D87" i="8"/>
  <c r="C87" i="8"/>
  <c r="B87" i="8"/>
  <c r="A87" i="8"/>
  <c r="G86" i="8"/>
  <c r="F86" i="8"/>
  <c r="E86" i="8"/>
  <c r="D86" i="8"/>
  <c r="C86" i="8"/>
  <c r="B86" i="8"/>
  <c r="A86" i="8"/>
  <c r="G85" i="8"/>
  <c r="F85" i="8"/>
  <c r="E85" i="8"/>
  <c r="D85" i="8"/>
  <c r="C85" i="8"/>
  <c r="B85" i="8"/>
  <c r="A85" i="8"/>
  <c r="G84" i="8"/>
  <c r="F84" i="8"/>
  <c r="E84" i="8"/>
  <c r="D84" i="8"/>
  <c r="C84" i="8"/>
  <c r="B84" i="8"/>
  <c r="A84" i="8"/>
  <c r="G83" i="8"/>
  <c r="F83" i="8"/>
  <c r="E83" i="8"/>
  <c r="D83" i="8"/>
  <c r="C83" i="8"/>
  <c r="B83" i="8"/>
  <c r="A83" i="8"/>
  <c r="G82" i="8"/>
  <c r="F82" i="8"/>
  <c r="E82" i="8"/>
  <c r="D82" i="8"/>
  <c r="C82" i="8"/>
  <c r="B82" i="8"/>
  <c r="A82" i="8"/>
  <c r="G81" i="8"/>
  <c r="F81" i="8"/>
  <c r="E81" i="8"/>
  <c r="D81" i="8"/>
  <c r="C81" i="8"/>
  <c r="B81" i="8"/>
  <c r="A81" i="8"/>
  <c r="G80" i="8"/>
  <c r="F80" i="8"/>
  <c r="E80" i="8"/>
  <c r="D80" i="8"/>
  <c r="C80" i="8"/>
  <c r="B80" i="8"/>
  <c r="A80" i="8"/>
  <c r="G79" i="8"/>
  <c r="F79" i="8"/>
  <c r="E79" i="8"/>
  <c r="D79" i="8"/>
  <c r="C79" i="8"/>
  <c r="B79" i="8"/>
  <c r="A79" i="8"/>
  <c r="G78" i="8"/>
  <c r="F78" i="8"/>
  <c r="E78" i="8"/>
  <c r="D78" i="8"/>
  <c r="C78" i="8"/>
  <c r="B78" i="8"/>
  <c r="A78" i="8"/>
  <c r="G77" i="8"/>
  <c r="F77" i="8"/>
  <c r="E77" i="8"/>
  <c r="D77" i="8"/>
  <c r="C77" i="8"/>
  <c r="B77" i="8"/>
  <c r="A77" i="8"/>
  <c r="G76" i="8"/>
  <c r="F76" i="8"/>
  <c r="E76" i="8"/>
  <c r="D76" i="8"/>
  <c r="C76" i="8"/>
  <c r="B76" i="8"/>
  <c r="A76" i="8"/>
  <c r="G75" i="8"/>
  <c r="F75" i="8"/>
  <c r="E75" i="8"/>
  <c r="D75" i="8"/>
  <c r="C75" i="8"/>
  <c r="B75" i="8"/>
  <c r="A75" i="8"/>
  <c r="G74" i="8"/>
  <c r="F74" i="8"/>
  <c r="E74" i="8"/>
  <c r="D74" i="8"/>
  <c r="C74" i="8"/>
  <c r="B74" i="8"/>
  <c r="A74" i="8"/>
  <c r="G73" i="8"/>
  <c r="F73" i="8"/>
  <c r="E73" i="8"/>
  <c r="D73" i="8"/>
  <c r="C73" i="8"/>
  <c r="B73" i="8"/>
  <c r="A73" i="8"/>
  <c r="G72" i="8"/>
  <c r="F72" i="8"/>
  <c r="E72" i="8"/>
  <c r="D72" i="8"/>
  <c r="C72" i="8"/>
  <c r="B72" i="8"/>
  <c r="A72" i="8"/>
  <c r="G71" i="8"/>
  <c r="F71" i="8"/>
  <c r="E71" i="8"/>
  <c r="D71" i="8"/>
  <c r="C71" i="8"/>
  <c r="B71" i="8"/>
  <c r="A71" i="8"/>
  <c r="G70" i="8"/>
  <c r="F70" i="8"/>
  <c r="E70" i="8"/>
  <c r="D70" i="8"/>
  <c r="C70" i="8"/>
  <c r="B70" i="8"/>
  <c r="A70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D69" i="8" s="1"/>
  <c r="E69" i="8"/>
  <c r="A69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D68" i="8" s="1"/>
  <c r="A68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R67" i="8"/>
  <c r="Q67" i="8"/>
  <c r="P67" i="8"/>
  <c r="O67" i="8"/>
  <c r="C67" i="8" s="1"/>
  <c r="N67" i="8"/>
  <c r="M67" i="8"/>
  <c r="L67" i="8"/>
  <c r="K67" i="8"/>
  <c r="J67" i="8"/>
  <c r="I67" i="8"/>
  <c r="H67" i="8"/>
  <c r="G67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 s="1"/>
  <c r="E66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E65" i="8" s="1"/>
  <c r="N65" i="8"/>
  <c r="M65" i="8"/>
  <c r="L65" i="8"/>
  <c r="K65" i="8"/>
  <c r="J65" i="8"/>
  <c r="I65" i="8"/>
  <c r="H65" i="8"/>
  <c r="A65" i="8" s="1"/>
  <c r="G65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D64" i="8" s="1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E63" i="8" s="1"/>
  <c r="N63" i="8"/>
  <c r="M63" i="8"/>
  <c r="L63" i="8"/>
  <c r="K63" i="8"/>
  <c r="J63" i="8"/>
  <c r="I63" i="8"/>
  <c r="H63" i="8"/>
  <c r="G63" i="8"/>
  <c r="C63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 s="1"/>
  <c r="AN61" i="8"/>
  <c r="AM61" i="8"/>
  <c r="AL61" i="8"/>
  <c r="AK61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D60" i="8" s="1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D59" i="8" s="1"/>
  <c r="G59" i="8"/>
  <c r="E59" i="8"/>
  <c r="C59" i="8"/>
  <c r="A59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 s="1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E57" i="8" s="1"/>
  <c r="N57" i="8"/>
  <c r="M57" i="8"/>
  <c r="L57" i="8"/>
  <c r="K57" i="8"/>
  <c r="J57" i="8"/>
  <c r="I57" i="8"/>
  <c r="H57" i="8"/>
  <c r="G57" i="8"/>
  <c r="A57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E56" i="8" s="1"/>
  <c r="N56" i="8"/>
  <c r="M56" i="8"/>
  <c r="L56" i="8"/>
  <c r="K56" i="8"/>
  <c r="J56" i="8"/>
  <c r="I56" i="8"/>
  <c r="H56" i="8"/>
  <c r="G56" i="8"/>
  <c r="A56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D55" i="8" s="1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E54" i="8"/>
  <c r="C54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 s="1"/>
  <c r="AN52" i="8"/>
  <c r="AM52" i="8"/>
  <c r="AL52" i="8"/>
  <c r="AK52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A52" i="8" s="1"/>
  <c r="N52" i="8"/>
  <c r="M52" i="8"/>
  <c r="L52" i="8"/>
  <c r="K52" i="8"/>
  <c r="J52" i="8"/>
  <c r="I52" i="8"/>
  <c r="H52" i="8"/>
  <c r="C52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C51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 s="1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E49" i="8" s="1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AN46" i="8"/>
  <c r="AM46" i="8"/>
  <c r="AL46" i="8"/>
  <c r="AK46" i="8"/>
  <c r="AJ46" i="8"/>
  <c r="AI46" i="8"/>
  <c r="AH46" i="8"/>
  <c r="AG46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 s="1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F45" i="8"/>
  <c r="E45" i="8"/>
  <c r="C45" i="8"/>
  <c r="A45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D44" i="8" s="1"/>
  <c r="AN43" i="8"/>
  <c r="AM43" i="8"/>
  <c r="AL43" i="8"/>
  <c r="AK43" i="8"/>
  <c r="AJ43" i="8"/>
  <c r="AI43" i="8"/>
  <c r="AH43" i="8"/>
  <c r="AG43" i="8"/>
  <c r="B43" i="8" s="1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A43" i="8" s="1"/>
  <c r="N43" i="8"/>
  <c r="M43" i="8"/>
  <c r="L43" i="8"/>
  <c r="K43" i="8"/>
  <c r="J43" i="8"/>
  <c r="I43" i="8"/>
  <c r="H43" i="8"/>
  <c r="G43" i="8"/>
  <c r="C43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E42" i="8" s="1"/>
  <c r="N42" i="8"/>
  <c r="M42" i="8"/>
  <c r="L42" i="8"/>
  <c r="K42" i="8"/>
  <c r="J42" i="8"/>
  <c r="I42" i="8"/>
  <c r="H42" i="8"/>
  <c r="G42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A41" i="8" s="1"/>
  <c r="E41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 s="1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 s="1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 s="1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 s="1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 s="1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 s="1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 s="1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 s="1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 s="1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 s="1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 s="1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 s="1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 s="1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 s="1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 s="1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H4" i="4" s="1"/>
  <c r="K4" i="8"/>
  <c r="J4" i="8"/>
  <c r="I4" i="8"/>
  <c r="H4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M20" i="5" s="1"/>
  <c r="K3" i="8"/>
  <c r="J3" i="8"/>
  <c r="I3" i="8"/>
  <c r="H3" i="8"/>
  <c r="G3" i="8" s="1"/>
  <c r="AN2" i="8"/>
  <c r="AM2" i="8"/>
  <c r="AL2" i="8"/>
  <c r="AK2" i="8"/>
  <c r="AJ2" i="8"/>
  <c r="AI2" i="8"/>
  <c r="AH2" i="8"/>
  <c r="AG2" i="8"/>
  <c r="AF2" i="8"/>
  <c r="AE2" i="8"/>
  <c r="AD2" i="8"/>
  <c r="AC2" i="8"/>
  <c r="AB2" i="8"/>
  <c r="AA2" i="8"/>
  <c r="Z2" i="8"/>
  <c r="Y2" i="8"/>
  <c r="X2" i="8"/>
  <c r="W2" i="8"/>
  <c r="V2" i="8"/>
  <c r="U2" i="8"/>
  <c r="T2" i="8"/>
  <c r="S2" i="8"/>
  <c r="R2" i="8"/>
  <c r="Q2" i="8"/>
  <c r="P2" i="8"/>
  <c r="O2" i="8"/>
  <c r="N2" i="8"/>
  <c r="M2" i="8"/>
  <c r="L2" i="8"/>
  <c r="K2" i="8"/>
  <c r="J2" i="8"/>
  <c r="H2" i="8"/>
  <c r="AN1" i="8"/>
  <c r="AM1" i="8"/>
  <c r="AL1" i="8"/>
  <c r="AK1" i="8"/>
  <c r="AJ1" i="8"/>
  <c r="AI1" i="8"/>
  <c r="AH1" i="8"/>
  <c r="AG1" i="8"/>
  <c r="AF1" i="8"/>
  <c r="AE1" i="8"/>
  <c r="AD1" i="8"/>
  <c r="AC1" i="8"/>
  <c r="AB1" i="8"/>
  <c r="AA1" i="8"/>
  <c r="Z1" i="8"/>
  <c r="Y1" i="8"/>
  <c r="X1" i="8"/>
  <c r="W1" i="8"/>
  <c r="V1" i="8"/>
  <c r="U1" i="8"/>
  <c r="T1" i="8"/>
  <c r="S1" i="8"/>
  <c r="R1" i="8"/>
  <c r="Q1" i="8"/>
  <c r="P1" i="8"/>
  <c r="O1" i="8"/>
  <c r="I1" i="8"/>
  <c r="H1" i="8"/>
  <c r="P6" i="4"/>
  <c r="O24" i="3"/>
  <c r="K18" i="3"/>
  <c r="I14" i="3"/>
  <c r="F11" i="3"/>
  <c r="J8" i="3"/>
  <c r="F7" i="3"/>
  <c r="M5" i="3"/>
  <c r="I4" i="3"/>
  <c r="H21" i="2"/>
  <c r="L20" i="2"/>
  <c r="O19" i="2"/>
  <c r="G19" i="2"/>
  <c r="K18" i="2"/>
  <c r="O17" i="2"/>
  <c r="G17" i="2"/>
  <c r="K16" i="2"/>
  <c r="O15" i="2"/>
  <c r="G15" i="2"/>
  <c r="K14" i="2"/>
  <c r="O13" i="2"/>
  <c r="G13" i="2"/>
  <c r="K12" i="2"/>
  <c r="F12" i="2"/>
  <c r="O11" i="2"/>
  <c r="J11" i="2"/>
  <c r="G11" i="2"/>
  <c r="N10" i="2"/>
  <c r="K10" i="2"/>
  <c r="G10" i="2"/>
  <c r="F10" i="2"/>
  <c r="O9" i="2"/>
  <c r="M9" i="2"/>
  <c r="L9" i="2"/>
  <c r="K9" i="2"/>
  <c r="J9" i="2"/>
  <c r="H9" i="2"/>
  <c r="G9" i="2"/>
  <c r="F9" i="2"/>
  <c r="E9" i="2"/>
  <c r="P8" i="2"/>
  <c r="O8" i="2"/>
  <c r="N8" i="2"/>
  <c r="L8" i="2"/>
  <c r="K8" i="2"/>
  <c r="J8" i="2"/>
  <c r="I8" i="2"/>
  <c r="H8" i="2"/>
  <c r="G8" i="2"/>
  <c r="F8" i="2"/>
  <c r="P7" i="2"/>
  <c r="O7" i="2"/>
  <c r="N7" i="2"/>
  <c r="M7" i="2"/>
  <c r="L7" i="2"/>
  <c r="K7" i="2"/>
  <c r="J7" i="2"/>
  <c r="H7" i="2"/>
  <c r="G7" i="2"/>
  <c r="F7" i="2"/>
  <c r="E7" i="2"/>
  <c r="P6" i="2"/>
  <c r="O6" i="2"/>
  <c r="N6" i="2"/>
  <c r="M6" i="2"/>
  <c r="L6" i="2"/>
  <c r="K6" i="2"/>
  <c r="J6" i="2"/>
  <c r="I6" i="2"/>
  <c r="H6" i="2"/>
  <c r="G6" i="2"/>
  <c r="F6" i="2"/>
  <c r="E6" i="2"/>
  <c r="P5" i="2"/>
  <c r="O5" i="2"/>
  <c r="N5" i="2"/>
  <c r="M5" i="2"/>
  <c r="L5" i="2"/>
  <c r="K5" i="2"/>
  <c r="J5" i="2"/>
  <c r="I5" i="2"/>
  <c r="H5" i="2"/>
  <c r="G5" i="2"/>
  <c r="F5" i="2"/>
  <c r="E5" i="2"/>
  <c r="P4" i="2"/>
  <c r="O4" i="2"/>
  <c r="N4" i="2"/>
  <c r="M4" i="2"/>
  <c r="L4" i="2"/>
  <c r="K4" i="2"/>
  <c r="J4" i="2"/>
  <c r="I4" i="2"/>
  <c r="H4" i="2"/>
  <c r="G4" i="2"/>
  <c r="F4" i="2"/>
  <c r="E4" i="2"/>
  <c r="O34" i="1"/>
  <c r="N34" i="1"/>
  <c r="M34" i="1"/>
  <c r="L34" i="1"/>
  <c r="K34" i="1"/>
  <c r="J34" i="1"/>
  <c r="I34" i="1"/>
  <c r="H34" i="1"/>
  <c r="G34" i="1"/>
  <c r="F34" i="1"/>
  <c r="E34" i="1"/>
  <c r="O33" i="1"/>
  <c r="N33" i="1"/>
  <c r="M33" i="1"/>
  <c r="L33" i="1"/>
  <c r="K33" i="1"/>
  <c r="J33" i="1"/>
  <c r="I33" i="1"/>
  <c r="H33" i="1"/>
  <c r="G33" i="1"/>
  <c r="F33" i="1"/>
  <c r="E33" i="1"/>
  <c r="O32" i="1"/>
  <c r="N32" i="1"/>
  <c r="M32" i="1"/>
  <c r="L32" i="1"/>
  <c r="K32" i="1"/>
  <c r="J32" i="1"/>
  <c r="I32" i="1"/>
  <c r="H32" i="1"/>
  <c r="G32" i="1"/>
  <c r="F32" i="1"/>
  <c r="E32" i="1"/>
  <c r="O31" i="1"/>
  <c r="N31" i="1"/>
  <c r="M31" i="1"/>
  <c r="L31" i="1"/>
  <c r="K31" i="1"/>
  <c r="J31" i="1"/>
  <c r="I31" i="1"/>
  <c r="H31" i="1"/>
  <c r="G31" i="1"/>
  <c r="F31" i="1"/>
  <c r="E31" i="1"/>
  <c r="O30" i="1"/>
  <c r="N30" i="1"/>
  <c r="M30" i="1"/>
  <c r="L30" i="1"/>
  <c r="K30" i="1"/>
  <c r="J30" i="1"/>
  <c r="I30" i="1"/>
  <c r="H30" i="1"/>
  <c r="G30" i="1"/>
  <c r="F30" i="1"/>
  <c r="E30" i="1"/>
  <c r="O29" i="1"/>
  <c r="N29" i="1"/>
  <c r="M29" i="1"/>
  <c r="L29" i="1"/>
  <c r="K29" i="1"/>
  <c r="J29" i="1"/>
  <c r="I29" i="1"/>
  <c r="H29" i="1"/>
  <c r="G29" i="1"/>
  <c r="F29" i="1"/>
  <c r="E29" i="1"/>
  <c r="C29" i="1" s="1" a="1"/>
  <c r="C29" i="1" s="1"/>
  <c r="O28" i="1"/>
  <c r="N28" i="1"/>
  <c r="M28" i="1"/>
  <c r="L28" i="1"/>
  <c r="K28" i="1"/>
  <c r="J28" i="1"/>
  <c r="I28" i="1"/>
  <c r="H28" i="1"/>
  <c r="G28" i="1"/>
  <c r="F28" i="1"/>
  <c r="E28" i="1"/>
  <c r="O27" i="1"/>
  <c r="N27" i="1"/>
  <c r="M27" i="1"/>
  <c r="L27" i="1"/>
  <c r="K27" i="1"/>
  <c r="J27" i="1"/>
  <c r="I27" i="1"/>
  <c r="H27" i="1"/>
  <c r="G27" i="1"/>
  <c r="F27" i="1"/>
  <c r="E27" i="1"/>
  <c r="O26" i="1"/>
  <c r="N26" i="1"/>
  <c r="M26" i="1"/>
  <c r="L26" i="1"/>
  <c r="K26" i="1"/>
  <c r="J26" i="1"/>
  <c r="I26" i="1"/>
  <c r="H26" i="1"/>
  <c r="G26" i="1"/>
  <c r="F26" i="1"/>
  <c r="E26" i="1"/>
  <c r="O25" i="1"/>
  <c r="N25" i="1"/>
  <c r="M25" i="1"/>
  <c r="L25" i="1"/>
  <c r="K25" i="1"/>
  <c r="J25" i="1"/>
  <c r="I25" i="1"/>
  <c r="H25" i="1"/>
  <c r="G25" i="1"/>
  <c r="F25" i="1"/>
  <c r="E25" i="1"/>
  <c r="O24" i="1"/>
  <c r="N24" i="1"/>
  <c r="M24" i="1"/>
  <c r="L24" i="1"/>
  <c r="K24" i="1"/>
  <c r="J24" i="1"/>
  <c r="I24" i="1"/>
  <c r="H24" i="1"/>
  <c r="G24" i="1"/>
  <c r="F24" i="1"/>
  <c r="E24" i="1"/>
  <c r="O23" i="1"/>
  <c r="N23" i="1"/>
  <c r="M23" i="1"/>
  <c r="L23" i="1"/>
  <c r="K23" i="1"/>
  <c r="J23" i="1"/>
  <c r="I23" i="1"/>
  <c r="H23" i="1"/>
  <c r="G23" i="1"/>
  <c r="F23" i="1"/>
  <c r="E23" i="1"/>
  <c r="O22" i="1"/>
  <c r="N22" i="1"/>
  <c r="M22" i="1"/>
  <c r="L22" i="1"/>
  <c r="K22" i="1"/>
  <c r="J22" i="1"/>
  <c r="I22" i="1"/>
  <c r="H22" i="1"/>
  <c r="G22" i="1"/>
  <c r="F22" i="1"/>
  <c r="E22" i="1"/>
  <c r="O21" i="1"/>
  <c r="N21" i="1"/>
  <c r="M21" i="1"/>
  <c r="L21" i="1"/>
  <c r="K21" i="1"/>
  <c r="J21" i="1"/>
  <c r="I21" i="1"/>
  <c r="H21" i="1"/>
  <c r="G21" i="1"/>
  <c r="F21" i="1"/>
  <c r="E21" i="1"/>
  <c r="C21" i="1" s="1" a="1"/>
  <c r="C21" i="1" s="1"/>
  <c r="O20" i="1"/>
  <c r="N20" i="1"/>
  <c r="M20" i="1"/>
  <c r="L20" i="1"/>
  <c r="K20" i="1"/>
  <c r="J20" i="1"/>
  <c r="I20" i="1"/>
  <c r="H20" i="1"/>
  <c r="G20" i="1"/>
  <c r="F20" i="1"/>
  <c r="E20" i="1"/>
  <c r="O19" i="1"/>
  <c r="N19" i="1"/>
  <c r="M19" i="1"/>
  <c r="L19" i="1"/>
  <c r="K19" i="1"/>
  <c r="J19" i="1"/>
  <c r="I19" i="1"/>
  <c r="H19" i="1"/>
  <c r="G19" i="1"/>
  <c r="F19" i="1"/>
  <c r="E19" i="1"/>
  <c r="O18" i="1"/>
  <c r="N18" i="1"/>
  <c r="M18" i="1"/>
  <c r="L18" i="1"/>
  <c r="K18" i="1"/>
  <c r="J18" i="1"/>
  <c r="I18" i="1"/>
  <c r="H18" i="1"/>
  <c r="G18" i="1"/>
  <c r="F18" i="1"/>
  <c r="E18" i="1"/>
  <c r="O17" i="1"/>
  <c r="N17" i="1"/>
  <c r="M17" i="1"/>
  <c r="L17" i="1"/>
  <c r="K17" i="1"/>
  <c r="J17" i="1"/>
  <c r="I17" i="1"/>
  <c r="H17" i="1"/>
  <c r="G17" i="1"/>
  <c r="F17" i="1"/>
  <c r="E17" i="1"/>
  <c r="O16" i="1"/>
  <c r="N16" i="1"/>
  <c r="M16" i="1"/>
  <c r="L16" i="1"/>
  <c r="K16" i="1"/>
  <c r="J16" i="1"/>
  <c r="I16" i="1"/>
  <c r="H16" i="1"/>
  <c r="G16" i="1"/>
  <c r="F16" i="1"/>
  <c r="E16" i="1"/>
  <c r="O15" i="1"/>
  <c r="N15" i="1"/>
  <c r="M15" i="1"/>
  <c r="L15" i="1"/>
  <c r="K15" i="1"/>
  <c r="J15" i="1"/>
  <c r="I15" i="1"/>
  <c r="H15" i="1"/>
  <c r="G15" i="1"/>
  <c r="F15" i="1"/>
  <c r="E15" i="1"/>
  <c r="O14" i="1"/>
  <c r="N14" i="1"/>
  <c r="M14" i="1"/>
  <c r="L14" i="1"/>
  <c r="K14" i="1"/>
  <c r="J14" i="1"/>
  <c r="I14" i="1"/>
  <c r="H14" i="1"/>
  <c r="G14" i="1"/>
  <c r="F14" i="1"/>
  <c r="E14" i="1"/>
  <c r="O13" i="1"/>
  <c r="N13" i="1"/>
  <c r="M13" i="1"/>
  <c r="L13" i="1"/>
  <c r="K13" i="1"/>
  <c r="J13" i="1"/>
  <c r="I13" i="1"/>
  <c r="H13" i="1"/>
  <c r="G13" i="1"/>
  <c r="F13" i="1"/>
  <c r="E13" i="1"/>
  <c r="C13" i="1" s="1" a="1"/>
  <c r="C13" i="1" s="1"/>
  <c r="O12" i="1"/>
  <c r="N12" i="1"/>
  <c r="M12" i="1"/>
  <c r="L12" i="1"/>
  <c r="K12" i="1"/>
  <c r="J12" i="1"/>
  <c r="I12" i="1"/>
  <c r="H12" i="1"/>
  <c r="G12" i="1"/>
  <c r="F12" i="1"/>
  <c r="E12" i="1"/>
  <c r="O11" i="1"/>
  <c r="N11" i="1"/>
  <c r="M11" i="1"/>
  <c r="L11" i="1"/>
  <c r="K11" i="1"/>
  <c r="J11" i="1"/>
  <c r="I11" i="1"/>
  <c r="H11" i="1"/>
  <c r="G11" i="1"/>
  <c r="F11" i="1"/>
  <c r="E11" i="1"/>
  <c r="O10" i="1"/>
  <c r="N10" i="1"/>
  <c r="M10" i="1"/>
  <c r="L10" i="1"/>
  <c r="K10" i="1"/>
  <c r="J10" i="1"/>
  <c r="I10" i="1"/>
  <c r="H10" i="1"/>
  <c r="G10" i="1"/>
  <c r="F10" i="1"/>
  <c r="E10" i="1"/>
  <c r="O9" i="1"/>
  <c r="N9" i="1"/>
  <c r="M9" i="1"/>
  <c r="L9" i="1"/>
  <c r="K9" i="1"/>
  <c r="J9" i="1"/>
  <c r="I9" i="1"/>
  <c r="H9" i="1"/>
  <c r="G9" i="1"/>
  <c r="F9" i="1"/>
  <c r="E9" i="1"/>
  <c r="O8" i="1"/>
  <c r="N8" i="1"/>
  <c r="M8" i="1"/>
  <c r="L8" i="1"/>
  <c r="K8" i="1"/>
  <c r="J8" i="1"/>
  <c r="I8" i="1"/>
  <c r="H8" i="1"/>
  <c r="G8" i="1"/>
  <c r="F8" i="1"/>
  <c r="E8" i="1"/>
  <c r="O7" i="1"/>
  <c r="N7" i="1"/>
  <c r="M7" i="1"/>
  <c r="L7" i="1"/>
  <c r="K7" i="1"/>
  <c r="J7" i="1"/>
  <c r="I7" i="1"/>
  <c r="H7" i="1"/>
  <c r="G7" i="1"/>
  <c r="F7" i="1"/>
  <c r="E7" i="1"/>
  <c r="O6" i="1"/>
  <c r="N6" i="1"/>
  <c r="M6" i="1"/>
  <c r="L6" i="1"/>
  <c r="K6" i="1"/>
  <c r="J6" i="1"/>
  <c r="I6" i="1"/>
  <c r="H6" i="1"/>
  <c r="G6" i="1"/>
  <c r="F6" i="1"/>
  <c r="E6" i="1"/>
  <c r="O5" i="1"/>
  <c r="N5" i="1"/>
  <c r="M5" i="1"/>
  <c r="L5" i="1"/>
  <c r="K5" i="1"/>
  <c r="J5" i="1"/>
  <c r="I5" i="1"/>
  <c r="H5" i="1"/>
  <c r="G5" i="1"/>
  <c r="F5" i="1"/>
  <c r="E5" i="1"/>
  <c r="C5" i="1" s="1" a="1"/>
  <c r="C5" i="1" s="1"/>
  <c r="O4" i="1"/>
  <c r="N4" i="1"/>
  <c r="M4" i="1"/>
  <c r="L4" i="1"/>
  <c r="K4" i="1"/>
  <c r="J4" i="1"/>
  <c r="I4" i="1"/>
  <c r="H4" i="1"/>
  <c r="G4" i="1"/>
  <c r="F4" i="1"/>
  <c r="E4" i="1"/>
  <c r="D32" i="1" l="1"/>
  <c r="D4" i="2"/>
  <c r="D6" i="2"/>
  <c r="P9" i="2"/>
  <c r="L10" i="2"/>
  <c r="H11" i="2"/>
  <c r="P11" i="2"/>
  <c r="L12" i="2"/>
  <c r="H13" i="2"/>
  <c r="P13" i="2"/>
  <c r="L14" i="2"/>
  <c r="H15" i="2"/>
  <c r="P15" i="2"/>
  <c r="L16" i="2"/>
  <c r="D16" i="2" s="1"/>
  <c r="H17" i="2"/>
  <c r="P17" i="2"/>
  <c r="L18" i="2"/>
  <c r="H19" i="2"/>
  <c r="P19" i="2"/>
  <c r="M20" i="2"/>
  <c r="I21" i="2"/>
  <c r="K4" i="3"/>
  <c r="O5" i="3"/>
  <c r="G7" i="3"/>
  <c r="O8" i="3"/>
  <c r="L11" i="3"/>
  <c r="M15" i="3"/>
  <c r="M18" i="3"/>
  <c r="I26" i="3"/>
  <c r="H7" i="4"/>
  <c r="G8" i="8"/>
  <c r="G27" i="8"/>
  <c r="C42" i="8"/>
  <c r="F19" i="5"/>
  <c r="D67" i="8"/>
  <c r="G69" i="8"/>
  <c r="C7" i="1" a="1"/>
  <c r="C7" i="1" s="1"/>
  <c r="C9" i="1" a="1"/>
  <c r="C9" i="1" s="1"/>
  <c r="D11" i="1"/>
  <c r="D13" i="1"/>
  <c r="C15" i="1" a="1"/>
  <c r="C15" i="1" s="1"/>
  <c r="C17" i="1" a="1"/>
  <c r="C17" i="1" s="1"/>
  <c r="D19" i="1"/>
  <c r="D21" i="1"/>
  <c r="C23" i="1" a="1"/>
  <c r="C23" i="1" s="1"/>
  <c r="C25" i="1" a="1"/>
  <c r="C25" i="1" s="1"/>
  <c r="D27" i="1"/>
  <c r="D29" i="1"/>
  <c r="C33" i="1" a="1"/>
  <c r="C33" i="1" s="1"/>
  <c r="C4" i="2" a="1"/>
  <c r="C4" i="2" s="1"/>
  <c r="C6" i="2" a="1"/>
  <c r="C6" i="2" s="1"/>
  <c r="I7" i="2"/>
  <c r="E8" i="2"/>
  <c r="M8" i="2"/>
  <c r="I9" i="2"/>
  <c r="E10" i="2"/>
  <c r="M10" i="2"/>
  <c r="I11" i="2"/>
  <c r="E12" i="2"/>
  <c r="M12" i="2"/>
  <c r="I13" i="2"/>
  <c r="E14" i="2"/>
  <c r="M14" i="2"/>
  <c r="I15" i="2"/>
  <c r="E16" i="2"/>
  <c r="M16" i="2"/>
  <c r="I17" i="2"/>
  <c r="E18" i="2"/>
  <c r="M18" i="2"/>
  <c r="I19" i="2"/>
  <c r="E20" i="2"/>
  <c r="N20" i="2"/>
  <c r="J21" i="2"/>
  <c r="L4" i="3"/>
  <c r="E6" i="3"/>
  <c r="I7" i="3"/>
  <c r="H9" i="3"/>
  <c r="M11" i="3"/>
  <c r="N15" i="3"/>
  <c r="G19" i="3"/>
  <c r="K28" i="3"/>
  <c r="O5" i="5"/>
  <c r="G15" i="8"/>
  <c r="G28" i="8"/>
  <c r="A54" i="8"/>
  <c r="D56" i="8"/>
  <c r="D14" i="1"/>
  <c r="D22" i="1"/>
  <c r="D30" i="1"/>
  <c r="N12" i="2"/>
  <c r="J13" i="2"/>
  <c r="F14" i="2"/>
  <c r="N14" i="2"/>
  <c r="J15" i="2"/>
  <c r="F16" i="2"/>
  <c r="N16" i="2"/>
  <c r="J17" i="2"/>
  <c r="F18" i="2"/>
  <c r="N18" i="2"/>
  <c r="J19" i="2"/>
  <c r="F20" i="2"/>
  <c r="O20" i="2"/>
  <c r="L21" i="2"/>
  <c r="N4" i="3"/>
  <c r="F6" i="3"/>
  <c r="L7" i="3"/>
  <c r="I9" i="3"/>
  <c r="F12" i="3"/>
  <c r="I16" i="3"/>
  <c r="H19" i="3"/>
  <c r="M30" i="3"/>
  <c r="G6" i="5"/>
  <c r="G5" i="5"/>
  <c r="A55" i="8"/>
  <c r="C62" i="8"/>
  <c r="D63" i="8"/>
  <c r="C68" i="8"/>
  <c r="D17" i="1"/>
  <c r="D25" i="1"/>
  <c r="O10" i="2"/>
  <c r="K11" i="2"/>
  <c r="G12" i="2"/>
  <c r="O12" i="2"/>
  <c r="K13" i="2"/>
  <c r="G14" i="2"/>
  <c r="O14" i="2"/>
  <c r="K15" i="2"/>
  <c r="G16" i="2"/>
  <c r="O16" i="2"/>
  <c r="K17" i="2"/>
  <c r="G18" i="2"/>
  <c r="O18" i="2"/>
  <c r="K19" i="2"/>
  <c r="G20" i="2"/>
  <c r="P20" i="2"/>
  <c r="M21" i="2"/>
  <c r="E5" i="3"/>
  <c r="H6" i="3"/>
  <c r="N7" i="3"/>
  <c r="K9" i="3"/>
  <c r="G12" i="3"/>
  <c r="K16" i="3"/>
  <c r="G20" i="3"/>
  <c r="E31" i="3"/>
  <c r="O11" i="5"/>
  <c r="G4" i="8"/>
  <c r="G23" i="8"/>
  <c r="G36" i="8"/>
  <c r="D41" i="8"/>
  <c r="A49" i="8"/>
  <c r="C55" i="8"/>
  <c r="E62" i="8"/>
  <c r="A64" i="8"/>
  <c r="G68" i="8"/>
  <c r="E68" i="8"/>
  <c r="D5" i="1"/>
  <c r="D5" i="2"/>
  <c r="D7" i="2"/>
  <c r="H10" i="2"/>
  <c r="P10" i="2"/>
  <c r="L11" i="2"/>
  <c r="H12" i="2"/>
  <c r="P12" i="2"/>
  <c r="L13" i="2"/>
  <c r="H14" i="2"/>
  <c r="P14" i="2"/>
  <c r="L15" i="2"/>
  <c r="H16" i="2"/>
  <c r="P16" i="2"/>
  <c r="L17" i="2"/>
  <c r="H18" i="2"/>
  <c r="P18" i="2"/>
  <c r="L19" i="2"/>
  <c r="H20" i="2"/>
  <c r="E21" i="2"/>
  <c r="O21" i="2"/>
  <c r="G5" i="3"/>
  <c r="K6" i="3"/>
  <c r="O7" i="3"/>
  <c r="I10" i="3"/>
  <c r="K13" i="3"/>
  <c r="E17" i="3"/>
  <c r="F23" i="3"/>
  <c r="O32" i="3"/>
  <c r="M12" i="5"/>
  <c r="G24" i="8"/>
  <c r="A42" i="8"/>
  <c r="F43" i="8"/>
  <c r="D45" i="8"/>
  <c r="G49" i="8"/>
  <c r="G52" i="8"/>
  <c r="E55" i="8"/>
  <c r="A60" i="8"/>
  <c r="A62" i="8"/>
  <c r="G64" i="8"/>
  <c r="E64" i="8"/>
  <c r="A67" i="8"/>
  <c r="D6" i="1"/>
  <c r="D4" i="1"/>
  <c r="D8" i="1"/>
  <c r="D16" i="1"/>
  <c r="D18" i="1"/>
  <c r="D20" i="1"/>
  <c r="D24" i="1"/>
  <c r="D26" i="1"/>
  <c r="D28" i="1"/>
  <c r="C31" i="1" a="1"/>
  <c r="C31" i="1" s="1"/>
  <c r="C32" i="1" a="1"/>
  <c r="C32" i="1" s="1"/>
  <c r="D34" i="1"/>
  <c r="C5" i="2" a="1"/>
  <c r="C5" i="2" s="1"/>
  <c r="C7" i="2" a="1"/>
  <c r="C7" i="2" s="1"/>
  <c r="I10" i="2"/>
  <c r="E11" i="2"/>
  <c r="M11" i="2"/>
  <c r="I12" i="2"/>
  <c r="E13" i="2"/>
  <c r="M13" i="2"/>
  <c r="I14" i="2"/>
  <c r="E15" i="2"/>
  <c r="M15" i="2"/>
  <c r="I16" i="2"/>
  <c r="E17" i="2"/>
  <c r="M17" i="2"/>
  <c r="I18" i="2"/>
  <c r="E19" i="2"/>
  <c r="M19" i="2"/>
  <c r="I20" i="2"/>
  <c r="F21" i="2"/>
  <c r="F4" i="3"/>
  <c r="J5" i="3"/>
  <c r="M6" i="3"/>
  <c r="G8" i="3"/>
  <c r="J10" i="3"/>
  <c r="L13" i="3"/>
  <c r="F17" i="3"/>
  <c r="K23" i="3"/>
  <c r="G33" i="3"/>
  <c r="B42" i="8"/>
  <c r="C44" i="8"/>
  <c r="F46" i="8"/>
  <c r="G55" i="8"/>
  <c r="E58" i="8"/>
  <c r="C60" i="8"/>
  <c r="D10" i="1"/>
  <c r="D12" i="1"/>
  <c r="D7" i="1"/>
  <c r="C10" i="1" a="1"/>
  <c r="C10" i="1" s="1"/>
  <c r="D15" i="1"/>
  <c r="C18" i="1" a="1"/>
  <c r="C18" i="1" s="1"/>
  <c r="D23" i="1"/>
  <c r="C26" i="1" a="1"/>
  <c r="C26" i="1" s="1"/>
  <c r="D31" i="1"/>
  <c r="C34" i="1" a="1"/>
  <c r="C34" i="1" s="1"/>
  <c r="N9" i="2"/>
  <c r="C9" i="2" s="1" a="1"/>
  <c r="C9" i="2" s="1"/>
  <c r="J10" i="2"/>
  <c r="F11" i="2"/>
  <c r="N11" i="2"/>
  <c r="J12" i="2"/>
  <c r="F13" i="2"/>
  <c r="N13" i="2"/>
  <c r="J14" i="2"/>
  <c r="F15" i="2"/>
  <c r="N15" i="2"/>
  <c r="J16" i="2"/>
  <c r="F17" i="2"/>
  <c r="N17" i="2"/>
  <c r="J18" i="2"/>
  <c r="F19" i="2"/>
  <c r="N19" i="2"/>
  <c r="J20" i="2"/>
  <c r="G21" i="2"/>
  <c r="H4" i="3"/>
  <c r="L5" i="3"/>
  <c r="N6" i="3"/>
  <c r="H8" i="3"/>
  <c r="L10" i="3"/>
  <c r="G14" i="3"/>
  <c r="O17" i="3"/>
  <c r="N24" i="3"/>
  <c r="F42" i="8"/>
  <c r="E44" i="8"/>
  <c r="E50" i="8"/>
  <c r="G60" i="8"/>
  <c r="E60" i="8"/>
  <c r="A63" i="8"/>
  <c r="E67" i="8"/>
  <c r="C69" i="8"/>
  <c r="E33" i="8"/>
  <c r="D33" i="8"/>
  <c r="C33" i="8"/>
  <c r="B33" i="8"/>
  <c r="A33" i="8"/>
  <c r="F33" i="8"/>
  <c r="G33" i="8"/>
  <c r="C16" i="1" a="1"/>
  <c r="C16" i="1" s="1"/>
  <c r="C24" i="1" a="1"/>
  <c r="C24" i="1" s="1"/>
  <c r="D33" i="1"/>
  <c r="E21" i="8"/>
  <c r="D21" i="8"/>
  <c r="C21" i="8"/>
  <c r="B21" i="8"/>
  <c r="A21" i="8"/>
  <c r="F21" i="8"/>
  <c r="G21" i="8"/>
  <c r="C61" i="8"/>
  <c r="A61" i="8"/>
  <c r="E61" i="8"/>
  <c r="N34" i="3"/>
  <c r="F34" i="3"/>
  <c r="M33" i="3"/>
  <c r="E33" i="3"/>
  <c r="L32" i="3"/>
  <c r="K31" i="3"/>
  <c r="J30" i="3"/>
  <c r="I29" i="3"/>
  <c r="H28" i="3"/>
  <c r="O27" i="3"/>
  <c r="G27" i="3"/>
  <c r="N26" i="3"/>
  <c r="F26" i="3"/>
  <c r="M25" i="3"/>
  <c r="M34" i="3"/>
  <c r="E34" i="3"/>
  <c r="L33" i="3"/>
  <c r="K32" i="3"/>
  <c r="J31" i="3"/>
  <c r="I30" i="3"/>
  <c r="H29" i="3"/>
  <c r="O28" i="3"/>
  <c r="G28" i="3"/>
  <c r="N27" i="3"/>
  <c r="F27" i="3"/>
  <c r="M26" i="3"/>
  <c r="E26" i="3"/>
  <c r="L25" i="3"/>
  <c r="K24" i="3"/>
  <c r="J23" i="3"/>
  <c r="I22" i="3"/>
  <c r="H21" i="3"/>
  <c r="K33" i="3"/>
  <c r="J32" i="3"/>
  <c r="I31" i="3"/>
  <c r="H30" i="3"/>
  <c r="O29" i="3"/>
  <c r="G29" i="3"/>
  <c r="N28" i="3"/>
  <c r="F28" i="3"/>
  <c r="M27" i="3"/>
  <c r="E27" i="3"/>
  <c r="L26" i="3"/>
  <c r="K25" i="3"/>
  <c r="J24" i="3"/>
  <c r="I23" i="3"/>
  <c r="H22" i="3"/>
  <c r="O21" i="3"/>
  <c r="G21" i="3"/>
  <c r="N20" i="3"/>
  <c r="F20" i="3"/>
  <c r="M19" i="3"/>
  <c r="E19" i="3"/>
  <c r="L18" i="3"/>
  <c r="K17" i="3"/>
  <c r="J16" i="3"/>
  <c r="I15" i="3"/>
  <c r="H14" i="3"/>
  <c r="O13" i="3"/>
  <c r="G13" i="3"/>
  <c r="N12" i="3"/>
  <c r="K34" i="3"/>
  <c r="J33" i="3"/>
  <c r="I32" i="3"/>
  <c r="H31" i="3"/>
  <c r="O30" i="3"/>
  <c r="G30" i="3"/>
  <c r="N29" i="3"/>
  <c r="F29" i="3"/>
  <c r="M28" i="3"/>
  <c r="E28" i="3"/>
  <c r="L27" i="3"/>
  <c r="K26" i="3"/>
  <c r="J25" i="3"/>
  <c r="I24" i="3"/>
  <c r="H23" i="3"/>
  <c r="O22" i="3"/>
  <c r="G22" i="3"/>
  <c r="N21" i="3"/>
  <c r="F21" i="3"/>
  <c r="M20" i="3"/>
  <c r="E20" i="3"/>
  <c r="L19" i="3"/>
  <c r="G31" i="3"/>
  <c r="N30" i="3"/>
  <c r="F30" i="3"/>
  <c r="M29" i="3"/>
  <c r="E29" i="3"/>
  <c r="L28" i="3"/>
  <c r="K27" i="3"/>
  <c r="J26" i="3"/>
  <c r="I25" i="3"/>
  <c r="H24" i="3"/>
  <c r="O23" i="3"/>
  <c r="G23" i="3"/>
  <c r="N22" i="3"/>
  <c r="F22" i="3"/>
  <c r="M21" i="3"/>
  <c r="E21" i="3"/>
  <c r="L20" i="3"/>
  <c r="K19" i="3"/>
  <c r="J18" i="3"/>
  <c r="I17" i="3"/>
  <c r="H16" i="3"/>
  <c r="O15" i="3"/>
  <c r="G15" i="3"/>
  <c r="N14" i="3"/>
  <c r="F14" i="3"/>
  <c r="M13" i="3"/>
  <c r="E13" i="3"/>
  <c r="L12" i="3"/>
  <c r="K11" i="3"/>
  <c r="O34" i="3"/>
  <c r="G34" i="3"/>
  <c r="N33" i="3"/>
  <c r="F33" i="3"/>
  <c r="M32" i="3"/>
  <c r="E32" i="3"/>
  <c r="L31" i="3"/>
  <c r="K30" i="3"/>
  <c r="J29" i="3"/>
  <c r="I28" i="3"/>
  <c r="H27" i="3"/>
  <c r="O26" i="3"/>
  <c r="G26" i="3"/>
  <c r="N25" i="3"/>
  <c r="F25" i="3"/>
  <c r="M24" i="3"/>
  <c r="E24" i="3"/>
  <c r="L23" i="3"/>
  <c r="K22" i="3"/>
  <c r="N21" i="2"/>
  <c r="E4" i="3"/>
  <c r="M4" i="3"/>
  <c r="F5" i="3"/>
  <c r="N5" i="3"/>
  <c r="G6" i="3"/>
  <c r="C6" i="3" s="1" a="1"/>
  <c r="C6" i="3" s="1"/>
  <c r="O6" i="3"/>
  <c r="H7" i="3"/>
  <c r="I8" i="3"/>
  <c r="J9" i="3"/>
  <c r="K10" i="3"/>
  <c r="E11" i="3"/>
  <c r="N11" i="3"/>
  <c r="H12" i="3"/>
  <c r="N13" i="3"/>
  <c r="J14" i="3"/>
  <c r="E15" i="3"/>
  <c r="L16" i="3"/>
  <c r="G17" i="3"/>
  <c r="N18" i="3"/>
  <c r="I19" i="3"/>
  <c r="H20" i="3"/>
  <c r="E22" i="3"/>
  <c r="M23" i="3"/>
  <c r="E25" i="3"/>
  <c r="F31" i="3"/>
  <c r="H33" i="3"/>
  <c r="I4" i="4"/>
  <c r="P7" i="4"/>
  <c r="H13" i="5"/>
  <c r="E9" i="8"/>
  <c r="D9" i="8"/>
  <c r="C9" i="8"/>
  <c r="B9" i="8"/>
  <c r="A9" i="8"/>
  <c r="F9" i="8"/>
  <c r="G9" i="8"/>
  <c r="C6" i="1" a="1"/>
  <c r="C6" i="1" s="1"/>
  <c r="C14" i="1" a="1"/>
  <c r="C14" i="1" s="1"/>
  <c r="C22" i="1" a="1"/>
  <c r="C22" i="1" s="1"/>
  <c r="C30" i="1" a="1"/>
  <c r="C30" i="1" s="1"/>
  <c r="O11" i="3"/>
  <c r="I12" i="3"/>
  <c r="K14" i="3"/>
  <c r="F15" i="3"/>
  <c r="M16" i="3"/>
  <c r="H17" i="3"/>
  <c r="E18" i="3"/>
  <c r="O18" i="3"/>
  <c r="J19" i="3"/>
  <c r="I20" i="3"/>
  <c r="I21" i="3"/>
  <c r="J22" i="3"/>
  <c r="N23" i="3"/>
  <c r="G25" i="3"/>
  <c r="I27" i="3"/>
  <c r="K29" i="3"/>
  <c r="M31" i="3"/>
  <c r="O33" i="3"/>
  <c r="P4" i="4"/>
  <c r="H8" i="4"/>
  <c r="O7" i="5"/>
  <c r="F14" i="5"/>
  <c r="F23" i="5"/>
  <c r="E29" i="8"/>
  <c r="D29" i="8"/>
  <c r="C29" i="8"/>
  <c r="B29" i="8"/>
  <c r="A29" i="8"/>
  <c r="F29" i="8"/>
  <c r="G29" i="8"/>
  <c r="D9" i="1"/>
  <c r="P21" i="2"/>
  <c r="G4" i="3"/>
  <c r="O4" i="3"/>
  <c r="H5" i="3"/>
  <c r="I6" i="3"/>
  <c r="J7" i="3"/>
  <c r="K8" i="3"/>
  <c r="L9" i="3"/>
  <c r="E10" i="3"/>
  <c r="M10" i="3"/>
  <c r="G11" i="3"/>
  <c r="J12" i="3"/>
  <c r="F13" i="3"/>
  <c r="L14" i="3"/>
  <c r="H15" i="3"/>
  <c r="N16" i="3"/>
  <c r="J17" i="3"/>
  <c r="F18" i="3"/>
  <c r="N19" i="3"/>
  <c r="J20" i="3"/>
  <c r="J21" i="3"/>
  <c r="L22" i="3"/>
  <c r="H25" i="3"/>
  <c r="J27" i="3"/>
  <c r="L29" i="3"/>
  <c r="N31" i="3"/>
  <c r="P8" i="4"/>
  <c r="M8" i="5"/>
  <c r="M24" i="5"/>
  <c r="E17" i="8"/>
  <c r="D17" i="8"/>
  <c r="C17" i="8"/>
  <c r="B17" i="8"/>
  <c r="A17" i="8"/>
  <c r="F17" i="8"/>
  <c r="G17" i="8"/>
  <c r="N8" i="4"/>
  <c r="F8" i="4"/>
  <c r="N7" i="4"/>
  <c r="F7" i="4"/>
  <c r="N6" i="4"/>
  <c r="F6" i="4"/>
  <c r="N5" i="4"/>
  <c r="F5" i="4"/>
  <c r="N4" i="4"/>
  <c r="F4" i="4"/>
  <c r="M7" i="4"/>
  <c r="E7" i="4"/>
  <c r="M6" i="4"/>
  <c r="E6" i="4"/>
  <c r="M5" i="4"/>
  <c r="E5" i="4"/>
  <c r="M4" i="4"/>
  <c r="E4" i="4"/>
  <c r="K8" i="4"/>
  <c r="K7" i="4"/>
  <c r="K6" i="4"/>
  <c r="K5" i="4"/>
  <c r="K4" i="4"/>
  <c r="I8" i="4"/>
  <c r="I7" i="4"/>
  <c r="I6" i="4"/>
  <c r="I5" i="4"/>
  <c r="O8" i="4"/>
  <c r="G8" i="4"/>
  <c r="O7" i="4"/>
  <c r="G7" i="4"/>
  <c r="O6" i="4"/>
  <c r="G6" i="4"/>
  <c r="O5" i="4"/>
  <c r="G5" i="4"/>
  <c r="O4" i="4"/>
  <c r="G4" i="4"/>
  <c r="E6" i="5"/>
  <c r="M5" i="5"/>
  <c r="E5" i="5"/>
  <c r="M4" i="5"/>
  <c r="E4" i="5"/>
  <c r="N24" i="5"/>
  <c r="J23" i="5"/>
  <c r="E22" i="5"/>
  <c r="N20" i="5"/>
  <c r="J19" i="5"/>
  <c r="E18" i="5"/>
  <c r="O16" i="5"/>
  <c r="P15" i="5"/>
  <c r="E15" i="5"/>
  <c r="G14" i="5"/>
  <c r="J13" i="5"/>
  <c r="N12" i="5"/>
  <c r="P11" i="5"/>
  <c r="E11" i="5"/>
  <c r="G10" i="5"/>
  <c r="J9" i="5"/>
  <c r="N8" i="5"/>
  <c r="P7" i="5"/>
  <c r="E7" i="5"/>
  <c r="H6" i="5"/>
  <c r="P5" i="5"/>
  <c r="H5" i="5"/>
  <c r="P4" i="5"/>
  <c r="H4" i="5"/>
  <c r="C4" i="1" a="1"/>
  <c r="C4" i="1" s="1"/>
  <c r="C12" i="1" a="1"/>
  <c r="C12" i="1" s="1"/>
  <c r="C20" i="1" a="1"/>
  <c r="C20" i="1" s="1"/>
  <c r="C28" i="1" a="1"/>
  <c r="C28" i="1" s="1"/>
  <c r="I5" i="3"/>
  <c r="J6" i="3"/>
  <c r="K7" i="3"/>
  <c r="L8" i="3"/>
  <c r="E9" i="3"/>
  <c r="M9" i="3"/>
  <c r="F10" i="3"/>
  <c r="N10" i="3"/>
  <c r="H11" i="3"/>
  <c r="K12" i="3"/>
  <c r="H13" i="3"/>
  <c r="M14" i="3"/>
  <c r="J15" i="3"/>
  <c r="E16" i="3"/>
  <c r="O16" i="3"/>
  <c r="L17" i="3"/>
  <c r="G18" i="3"/>
  <c r="O19" i="3"/>
  <c r="K20" i="3"/>
  <c r="K21" i="3"/>
  <c r="M22" i="3"/>
  <c r="F24" i="3"/>
  <c r="O25" i="3"/>
  <c r="F32" i="3"/>
  <c r="H34" i="3"/>
  <c r="H5" i="4"/>
  <c r="G4" i="5"/>
  <c r="H9" i="5"/>
  <c r="O15" i="5"/>
  <c r="E5" i="8"/>
  <c r="D5" i="8"/>
  <c r="C5" i="8"/>
  <c r="B5" i="8"/>
  <c r="A5" i="8"/>
  <c r="F5" i="8"/>
  <c r="G5" i="8"/>
  <c r="E37" i="8"/>
  <c r="D37" i="8"/>
  <c r="C37" i="8"/>
  <c r="B37" i="8"/>
  <c r="A37" i="8"/>
  <c r="F37" i="8"/>
  <c r="G37" i="8"/>
  <c r="C11" i="1" a="1"/>
  <c r="C11" i="1" s="1"/>
  <c r="C19" i="1" a="1"/>
  <c r="C19" i="1" s="1"/>
  <c r="C27" i="1" a="1"/>
  <c r="C27" i="1" s="1"/>
  <c r="E8" i="3"/>
  <c r="M8" i="3"/>
  <c r="F9" i="3"/>
  <c r="N9" i="3"/>
  <c r="G10" i="3"/>
  <c r="O10" i="3"/>
  <c r="I11" i="3"/>
  <c r="M12" i="3"/>
  <c r="I13" i="3"/>
  <c r="O14" i="3"/>
  <c r="K15" i="3"/>
  <c r="F16" i="3"/>
  <c r="M17" i="3"/>
  <c r="H18" i="3"/>
  <c r="O20" i="3"/>
  <c r="L21" i="3"/>
  <c r="G24" i="3"/>
  <c r="E30" i="3"/>
  <c r="G32" i="3"/>
  <c r="I34" i="3"/>
  <c r="P5" i="4"/>
  <c r="O4" i="5"/>
  <c r="F10" i="5"/>
  <c r="N16" i="5"/>
  <c r="J5" i="6"/>
  <c r="E5" i="7"/>
  <c r="E25" i="8"/>
  <c r="D25" i="8"/>
  <c r="C25" i="8"/>
  <c r="B25" i="8"/>
  <c r="A25" i="8"/>
  <c r="F25" i="8"/>
  <c r="G25" i="8"/>
  <c r="C8" i="1" a="1"/>
  <c r="C8" i="1" s="1"/>
  <c r="K20" i="2"/>
  <c r="K21" i="2"/>
  <c r="J4" i="3"/>
  <c r="K5" i="3"/>
  <c r="L6" i="3"/>
  <c r="E7" i="3"/>
  <c r="M7" i="3"/>
  <c r="F8" i="3"/>
  <c r="N8" i="3"/>
  <c r="G9" i="3"/>
  <c r="O9" i="3"/>
  <c r="H10" i="3"/>
  <c r="J11" i="3"/>
  <c r="E12" i="3"/>
  <c r="O12" i="3"/>
  <c r="J13" i="3"/>
  <c r="E14" i="3"/>
  <c r="L15" i="3"/>
  <c r="G16" i="3"/>
  <c r="D17" i="3"/>
  <c r="N17" i="3"/>
  <c r="I18" i="3"/>
  <c r="F19" i="3"/>
  <c r="E23" i="3"/>
  <c r="L24" i="3"/>
  <c r="H26" i="3"/>
  <c r="J28" i="3"/>
  <c r="L30" i="3"/>
  <c r="N32" i="3"/>
  <c r="H6" i="4"/>
  <c r="E13" i="8"/>
  <c r="D13" i="8"/>
  <c r="C13" i="8"/>
  <c r="B13" i="8"/>
  <c r="A13" i="8"/>
  <c r="F13" i="8"/>
  <c r="G13" i="8"/>
  <c r="F4" i="5"/>
  <c r="N4" i="5"/>
  <c r="F5" i="5"/>
  <c r="N5" i="5"/>
  <c r="F6" i="5"/>
  <c r="P6" i="5"/>
  <c r="N7" i="5"/>
  <c r="J8" i="5"/>
  <c r="G9" i="5"/>
  <c r="E10" i="5"/>
  <c r="P10" i="5"/>
  <c r="N11" i="5"/>
  <c r="J12" i="5"/>
  <c r="G13" i="5"/>
  <c r="E14" i="5"/>
  <c r="P14" i="5"/>
  <c r="N15" i="5"/>
  <c r="M16" i="5"/>
  <c r="N17" i="5"/>
  <c r="E19" i="5"/>
  <c r="J20" i="5"/>
  <c r="N21" i="5"/>
  <c r="E23" i="5"/>
  <c r="J24" i="5"/>
  <c r="N25" i="5"/>
  <c r="I5" i="6"/>
  <c r="D48" i="8"/>
  <c r="F48" i="8"/>
  <c r="E48" i="8"/>
  <c r="C48" i="8"/>
  <c r="B48" i="8"/>
  <c r="A48" i="8"/>
  <c r="G48" i="8"/>
  <c r="D61" i="8"/>
  <c r="O31" i="3"/>
  <c r="H32" i="3"/>
  <c r="I33" i="3"/>
  <c r="J34" i="3"/>
  <c r="J4" i="4"/>
  <c r="J5" i="4"/>
  <c r="J6" i="4"/>
  <c r="J7" i="4"/>
  <c r="J8" i="4"/>
  <c r="I4" i="5"/>
  <c r="I5" i="5"/>
  <c r="I6" i="5"/>
  <c r="F7" i="5"/>
  <c r="O8" i="5"/>
  <c r="M9" i="5"/>
  <c r="H10" i="5"/>
  <c r="F11" i="5"/>
  <c r="O12" i="5"/>
  <c r="M13" i="5"/>
  <c r="H14" i="5"/>
  <c r="F15" i="5"/>
  <c r="F18" i="5"/>
  <c r="M19" i="5"/>
  <c r="F22" i="5"/>
  <c r="M23" i="5"/>
  <c r="E4" i="6"/>
  <c r="E6" i="8"/>
  <c r="D6" i="8"/>
  <c r="C6" i="8"/>
  <c r="B6" i="8"/>
  <c r="A6" i="8"/>
  <c r="F6" i="8"/>
  <c r="E10" i="8"/>
  <c r="D10" i="8"/>
  <c r="C10" i="8"/>
  <c r="B10" i="8"/>
  <c r="A10" i="8"/>
  <c r="F10" i="8"/>
  <c r="E14" i="8"/>
  <c r="D14" i="8"/>
  <c r="C14" i="8"/>
  <c r="B14" i="8"/>
  <c r="A14" i="8"/>
  <c r="F14" i="8"/>
  <c r="E18" i="8"/>
  <c r="D18" i="8"/>
  <c r="C18" i="8"/>
  <c r="B18" i="8"/>
  <c r="A18" i="8"/>
  <c r="F18" i="8"/>
  <c r="E22" i="8"/>
  <c r="D22" i="8"/>
  <c r="C22" i="8"/>
  <c r="B22" i="8"/>
  <c r="A22" i="8"/>
  <c r="F22" i="8"/>
  <c r="E26" i="8"/>
  <c r="D26" i="8"/>
  <c r="C26" i="8"/>
  <c r="B26" i="8"/>
  <c r="A26" i="8"/>
  <c r="F26" i="8"/>
  <c r="E30" i="8"/>
  <c r="D30" i="8"/>
  <c r="C30" i="8"/>
  <c r="B30" i="8"/>
  <c r="A30" i="8"/>
  <c r="F30" i="8"/>
  <c r="E34" i="8"/>
  <c r="D34" i="8"/>
  <c r="C34" i="8"/>
  <c r="B34" i="8"/>
  <c r="A34" i="8"/>
  <c r="F34" i="8"/>
  <c r="E38" i="8"/>
  <c r="D38" i="8"/>
  <c r="C38" i="8"/>
  <c r="B38" i="8"/>
  <c r="A38" i="8"/>
  <c r="F38" i="8"/>
  <c r="A66" i="8"/>
  <c r="C66" i="8"/>
  <c r="J4" i="5"/>
  <c r="J5" i="5"/>
  <c r="J6" i="5"/>
  <c r="G7" i="5"/>
  <c r="E8" i="5"/>
  <c r="P8" i="5"/>
  <c r="N9" i="5"/>
  <c r="J10" i="5"/>
  <c r="G11" i="5"/>
  <c r="E12" i="5"/>
  <c r="P12" i="5"/>
  <c r="N13" i="5"/>
  <c r="J14" i="5"/>
  <c r="G15" i="5"/>
  <c r="E16" i="5"/>
  <c r="E17" i="5"/>
  <c r="J18" i="5"/>
  <c r="N19" i="5"/>
  <c r="E21" i="5"/>
  <c r="J22" i="5"/>
  <c r="N23" i="5"/>
  <c r="E25" i="5"/>
  <c r="I4" i="6"/>
  <c r="E4" i="7"/>
  <c r="G5" i="6"/>
  <c r="J4" i="6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I5" i="7"/>
  <c r="H5" i="7"/>
  <c r="H4" i="7"/>
  <c r="E5" i="6"/>
  <c r="H4" i="6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G5" i="7"/>
  <c r="G4" i="7"/>
  <c r="L5" i="6"/>
  <c r="G4" i="6"/>
  <c r="P25" i="5"/>
  <c r="H25" i="5"/>
  <c r="P24" i="5"/>
  <c r="H24" i="5"/>
  <c r="P23" i="5"/>
  <c r="H23" i="5"/>
  <c r="P22" i="5"/>
  <c r="H22" i="5"/>
  <c r="P21" i="5"/>
  <c r="H21" i="5"/>
  <c r="P20" i="5"/>
  <c r="H20" i="5"/>
  <c r="P19" i="5"/>
  <c r="H19" i="5"/>
  <c r="P18" i="5"/>
  <c r="H18" i="5"/>
  <c r="P17" i="5"/>
  <c r="H17" i="5"/>
  <c r="P16" i="5"/>
  <c r="H16" i="5"/>
  <c r="F5" i="7"/>
  <c r="F4" i="7"/>
  <c r="K5" i="6"/>
  <c r="F4" i="6"/>
  <c r="O25" i="5"/>
  <c r="G25" i="5"/>
  <c r="O24" i="5"/>
  <c r="G24" i="5"/>
  <c r="O23" i="5"/>
  <c r="G23" i="5"/>
  <c r="O22" i="5"/>
  <c r="G22" i="5"/>
  <c r="O21" i="5"/>
  <c r="G21" i="5"/>
  <c r="O20" i="5"/>
  <c r="G20" i="5"/>
  <c r="O19" i="5"/>
  <c r="G19" i="5"/>
  <c r="O18" i="5"/>
  <c r="G18" i="5"/>
  <c r="O17" i="5"/>
  <c r="G17" i="5"/>
  <c r="H5" i="6"/>
  <c r="K4" i="6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C46" i="8"/>
  <c r="B46" i="8"/>
  <c r="A46" i="8"/>
  <c r="E46" i="8"/>
  <c r="L34" i="3"/>
  <c r="L4" i="4"/>
  <c r="L5" i="4"/>
  <c r="L6" i="4"/>
  <c r="L7" i="4"/>
  <c r="L8" i="4"/>
  <c r="K4" i="5"/>
  <c r="K5" i="5"/>
  <c r="M6" i="5"/>
  <c r="H7" i="5"/>
  <c r="F8" i="5"/>
  <c r="O9" i="5"/>
  <c r="M10" i="5"/>
  <c r="H11" i="5"/>
  <c r="F12" i="5"/>
  <c r="O13" i="5"/>
  <c r="M14" i="5"/>
  <c r="H15" i="5"/>
  <c r="F16" i="5"/>
  <c r="F17" i="5"/>
  <c r="M18" i="5"/>
  <c r="F21" i="5"/>
  <c r="M22" i="5"/>
  <c r="F25" i="5"/>
  <c r="L4" i="6"/>
  <c r="I4" i="7"/>
  <c r="E3" i="8"/>
  <c r="D3" i="8"/>
  <c r="C3" i="8"/>
  <c r="B3" i="8"/>
  <c r="A3" i="8"/>
  <c r="F3" i="8"/>
  <c r="E7" i="8"/>
  <c r="D7" i="8"/>
  <c r="C7" i="8"/>
  <c r="B7" i="8"/>
  <c r="A7" i="8"/>
  <c r="F7" i="8"/>
  <c r="E11" i="8"/>
  <c r="D11" i="8"/>
  <c r="C11" i="8"/>
  <c r="B11" i="8"/>
  <c r="A11" i="8"/>
  <c r="F11" i="8"/>
  <c r="E15" i="8"/>
  <c r="D15" i="8"/>
  <c r="C15" i="8"/>
  <c r="B15" i="8"/>
  <c r="A15" i="8"/>
  <c r="F15" i="8"/>
  <c r="E19" i="8"/>
  <c r="D19" i="8"/>
  <c r="C19" i="8"/>
  <c r="B19" i="8"/>
  <c r="A19" i="8"/>
  <c r="F19" i="8"/>
  <c r="E23" i="8"/>
  <c r="D23" i="8"/>
  <c r="C23" i="8"/>
  <c r="B23" i="8"/>
  <c r="A23" i="8"/>
  <c r="F23" i="8"/>
  <c r="E27" i="8"/>
  <c r="D27" i="8"/>
  <c r="C27" i="8"/>
  <c r="B27" i="8"/>
  <c r="A27" i="8"/>
  <c r="F27" i="8"/>
  <c r="E31" i="8"/>
  <c r="D31" i="8"/>
  <c r="C31" i="8"/>
  <c r="B31" i="8"/>
  <c r="A31" i="8"/>
  <c r="F31" i="8"/>
  <c r="E35" i="8"/>
  <c r="D35" i="8"/>
  <c r="C35" i="8"/>
  <c r="B35" i="8"/>
  <c r="A35" i="8"/>
  <c r="F35" i="8"/>
  <c r="E39" i="8"/>
  <c r="D39" i="8"/>
  <c r="C39" i="8"/>
  <c r="B39" i="8"/>
  <c r="A39" i="8"/>
  <c r="F39" i="8"/>
  <c r="A50" i="8"/>
  <c r="C50" i="8"/>
  <c r="D53" i="8"/>
  <c r="B53" i="8"/>
  <c r="F53" i="8"/>
  <c r="C53" i="8"/>
  <c r="A53" i="8"/>
  <c r="E53" i="8"/>
  <c r="E8" i="4"/>
  <c r="M8" i="4"/>
  <c r="L4" i="5"/>
  <c r="L5" i="5"/>
  <c r="N6" i="5"/>
  <c r="J7" i="5"/>
  <c r="G8" i="5"/>
  <c r="E9" i="5"/>
  <c r="P9" i="5"/>
  <c r="N10" i="5"/>
  <c r="J11" i="5"/>
  <c r="G12" i="5"/>
  <c r="E13" i="5"/>
  <c r="P13" i="5"/>
  <c r="N14" i="5"/>
  <c r="J15" i="5"/>
  <c r="G16" i="5"/>
  <c r="J17" i="5"/>
  <c r="N18" i="5"/>
  <c r="E20" i="5"/>
  <c r="J21" i="5"/>
  <c r="N22" i="5"/>
  <c r="E24" i="5"/>
  <c r="J25" i="5"/>
  <c r="D40" i="8"/>
  <c r="F40" i="8"/>
  <c r="E40" i="8"/>
  <c r="C40" i="8"/>
  <c r="B40" i="8"/>
  <c r="A40" i="8"/>
  <c r="G40" i="8"/>
  <c r="A58" i="8"/>
  <c r="C58" i="8"/>
  <c r="O6" i="5"/>
  <c r="M7" i="5"/>
  <c r="H8" i="5"/>
  <c r="F9" i="5"/>
  <c r="O10" i="5"/>
  <c r="M11" i="5"/>
  <c r="H12" i="5"/>
  <c r="F13" i="5"/>
  <c r="O14" i="5"/>
  <c r="M15" i="5"/>
  <c r="J16" i="5"/>
  <c r="M17" i="5"/>
  <c r="F20" i="5"/>
  <c r="M21" i="5"/>
  <c r="F24" i="5"/>
  <c r="M25" i="5"/>
  <c r="F5" i="6"/>
  <c r="E4" i="8"/>
  <c r="D4" i="8"/>
  <c r="C4" i="8"/>
  <c r="B4" i="8"/>
  <c r="A4" i="8"/>
  <c r="F4" i="8"/>
  <c r="E8" i="8"/>
  <c r="D8" i="8"/>
  <c r="C8" i="8"/>
  <c r="B8" i="8"/>
  <c r="A8" i="8"/>
  <c r="F8" i="8"/>
  <c r="E12" i="8"/>
  <c r="D12" i="8"/>
  <c r="C12" i="8"/>
  <c r="B12" i="8"/>
  <c r="A12" i="8"/>
  <c r="F12" i="8"/>
  <c r="E16" i="8"/>
  <c r="D16" i="8"/>
  <c r="C16" i="8"/>
  <c r="B16" i="8"/>
  <c r="A16" i="8"/>
  <c r="F16" i="8"/>
  <c r="E20" i="8"/>
  <c r="D20" i="8"/>
  <c r="C20" i="8"/>
  <c r="B20" i="8"/>
  <c r="A20" i="8"/>
  <c r="F20" i="8"/>
  <c r="E24" i="8"/>
  <c r="D24" i="8"/>
  <c r="C24" i="8"/>
  <c r="B24" i="8"/>
  <c r="A24" i="8"/>
  <c r="F24" i="8"/>
  <c r="E28" i="8"/>
  <c r="D28" i="8"/>
  <c r="C28" i="8"/>
  <c r="B28" i="8"/>
  <c r="A28" i="8"/>
  <c r="F28" i="8"/>
  <c r="E32" i="8"/>
  <c r="D32" i="8"/>
  <c r="C32" i="8"/>
  <c r="B32" i="8"/>
  <c r="A32" i="8"/>
  <c r="F32" i="8"/>
  <c r="E36" i="8"/>
  <c r="D36" i="8"/>
  <c r="C36" i="8"/>
  <c r="B36" i="8"/>
  <c r="A36" i="8"/>
  <c r="F36" i="8"/>
  <c r="D47" i="8"/>
  <c r="E47" i="8"/>
  <c r="C47" i="8"/>
  <c r="B47" i="8"/>
  <c r="A47" i="8"/>
  <c r="F47" i="8"/>
  <c r="B13" i="20" a="1"/>
  <c r="B13" i="20" s="1"/>
  <c r="C13" i="20" s="1"/>
  <c r="D10" i="20" a="1"/>
  <c r="D10" i="20" s="1"/>
  <c r="E8" i="20" a="1"/>
  <c r="E8" i="20" s="1"/>
  <c r="H8" i="20" s="1"/>
  <c r="B5" i="20" a="1"/>
  <c r="B5" i="20" s="1"/>
  <c r="C5" i="20" s="1"/>
  <c r="D4" i="20" a="1"/>
  <c r="D4" i="20" s="1"/>
  <c r="L4" i="20" s="1" a="1"/>
  <c r="L4" i="20" s="1"/>
  <c r="E5" i="19" a="1"/>
  <c r="E5" i="19" s="1"/>
  <c r="B4" i="19" a="1"/>
  <c r="B4" i="19" s="1"/>
  <c r="C4" i="19" s="1"/>
  <c r="H9" i="18" a="1"/>
  <c r="H9" i="18" s="1"/>
  <c r="D9" i="18" a="1"/>
  <c r="D9" i="18" s="1"/>
  <c r="K7" i="18" a="1"/>
  <c r="K7" i="18" s="1"/>
  <c r="G7" i="18" a="1"/>
  <c r="G7" i="18" s="1"/>
  <c r="F5" i="18" a="1"/>
  <c r="F5" i="18" s="1"/>
  <c r="F11" i="17" a="1"/>
  <c r="F11" i="17" s="1"/>
  <c r="E9" i="17" a="1"/>
  <c r="E9" i="17" s="1"/>
  <c r="B8" i="17" a="1"/>
  <c r="B8" i="17" s="1"/>
  <c r="C8" i="17" s="1"/>
  <c r="H7" i="17" a="1"/>
  <c r="H7" i="17" s="1"/>
  <c r="D7" i="17" a="1"/>
  <c r="D7" i="17" s="1"/>
  <c r="K5" i="17" a="1"/>
  <c r="K5" i="17" s="1"/>
  <c r="G5" i="17" a="1"/>
  <c r="G5" i="17" s="1"/>
  <c r="F10" i="16" a="1"/>
  <c r="F10" i="16" s="1"/>
  <c r="G9" i="16" a="1"/>
  <c r="G9" i="16" s="1"/>
  <c r="E8" i="16" a="1"/>
  <c r="E8" i="16" s="1"/>
  <c r="E7" i="16" a="1"/>
  <c r="E7" i="16" s="1"/>
  <c r="B6" i="16" a="1"/>
  <c r="B6" i="16" s="1"/>
  <c r="C6" i="16" s="1"/>
  <c r="H5" i="16" a="1"/>
  <c r="H5" i="16" s="1"/>
  <c r="D5" i="16" a="1"/>
  <c r="D5" i="16" s="1"/>
  <c r="B4" i="16" a="1"/>
  <c r="B4" i="16" s="1"/>
  <c r="C4" i="16" s="1"/>
  <c r="H11" i="15" a="1"/>
  <c r="H11" i="15" s="1"/>
  <c r="D11" i="15" a="1"/>
  <c r="D11" i="15" s="1"/>
  <c r="K9" i="15" a="1"/>
  <c r="K9" i="15" s="1"/>
  <c r="B12" i="20" a="1"/>
  <c r="B12" i="20" s="1"/>
  <c r="C12" i="20" s="1"/>
  <c r="D9" i="20" a="1"/>
  <c r="D9" i="20" s="1"/>
  <c r="E7" i="20" a="1"/>
  <c r="E7" i="20" s="1"/>
  <c r="H7" i="20" s="1"/>
  <c r="D6" i="19" a="1"/>
  <c r="D6" i="19" s="1"/>
  <c r="J4" i="19" a="1"/>
  <c r="J4" i="19" s="1"/>
  <c r="F4" i="19" a="1"/>
  <c r="F4" i="19" s="1"/>
  <c r="E8" i="18" a="1"/>
  <c r="E8" i="18" s="1"/>
  <c r="B7" i="18" a="1"/>
  <c r="B7" i="18" s="1"/>
  <c r="C7" i="18" s="1"/>
  <c r="H6" i="18" a="1"/>
  <c r="H6" i="18" s="1"/>
  <c r="D6" i="18" a="1"/>
  <c r="D6" i="18" s="1"/>
  <c r="H4" i="18" a="1"/>
  <c r="H4" i="18" s="1"/>
  <c r="D4" i="18" a="1"/>
  <c r="D4" i="18" s="1"/>
  <c r="K10" i="17" a="1"/>
  <c r="K10" i="17" s="1"/>
  <c r="G10" i="17" a="1"/>
  <c r="G10" i="17" s="1"/>
  <c r="F8" i="17" a="1"/>
  <c r="F8" i="17" s="1"/>
  <c r="E6" i="17" a="1"/>
  <c r="E6" i="17" s="1"/>
  <c r="B5" i="17" a="1"/>
  <c r="B5" i="17" s="1"/>
  <c r="C5" i="17" s="1"/>
  <c r="H4" i="17" a="1"/>
  <c r="H4" i="17" s="1"/>
  <c r="D4" i="17" a="1"/>
  <c r="D4" i="17" s="1"/>
  <c r="F6" i="16" a="1"/>
  <c r="F6" i="16" s="1"/>
  <c r="F4" i="16" a="1"/>
  <c r="F4" i="16" s="1"/>
  <c r="E10" i="15" a="1"/>
  <c r="E10" i="15" s="1"/>
  <c r="B9" i="15" a="1"/>
  <c r="B9" i="15" s="1"/>
  <c r="C9" i="15" s="1"/>
  <c r="H8" i="15" a="1"/>
  <c r="H8" i="15" s="1"/>
  <c r="D8" i="15" a="1"/>
  <c r="D8" i="15" s="1"/>
  <c r="K6" i="15" a="1"/>
  <c r="K6" i="15" s="1"/>
  <c r="G6" i="15" a="1"/>
  <c r="G6" i="15" s="1"/>
  <c r="K4" i="15" a="1"/>
  <c r="K4" i="15" s="1"/>
  <c r="G4" i="15" a="1"/>
  <c r="G4" i="15" s="1"/>
  <c r="E14" i="20" a="1"/>
  <c r="E14" i="20" s="1"/>
  <c r="H14" i="20" s="1"/>
  <c r="B11" i="20" a="1"/>
  <c r="B11" i="20" s="1"/>
  <c r="C11" i="20" s="1"/>
  <c r="D8" i="20" a="1"/>
  <c r="D8" i="20" s="1"/>
  <c r="E6" i="20" a="1"/>
  <c r="E6" i="20" s="1"/>
  <c r="H6" i="20" s="1"/>
  <c r="D5" i="19" a="1"/>
  <c r="D5" i="19" s="1"/>
  <c r="K9" i="18" a="1"/>
  <c r="K9" i="18" s="1"/>
  <c r="G9" i="18" a="1"/>
  <c r="G9" i="18" s="1"/>
  <c r="F7" i="18" a="1"/>
  <c r="F7" i="18" s="1"/>
  <c r="E5" i="18" a="1"/>
  <c r="E5" i="18" s="1"/>
  <c r="E11" i="17" a="1"/>
  <c r="E11" i="17" s="1"/>
  <c r="B10" i="17" a="1"/>
  <c r="B10" i="17" s="1"/>
  <c r="C10" i="17" s="1"/>
  <c r="H9" i="17" a="1"/>
  <c r="H9" i="17" s="1"/>
  <c r="D9" i="17" a="1"/>
  <c r="D9" i="17" s="1"/>
  <c r="K7" i="17" a="1"/>
  <c r="K7" i="17" s="1"/>
  <c r="G7" i="17" a="1"/>
  <c r="G7" i="17" s="1"/>
  <c r="F5" i="17" a="1"/>
  <c r="F5" i="17" s="1"/>
  <c r="H11" i="16" a="1"/>
  <c r="H11" i="16" s="1"/>
  <c r="F9" i="16" a="1"/>
  <c r="F9" i="16" s="1"/>
  <c r="H8" i="16" a="1"/>
  <c r="H8" i="16" s="1"/>
  <c r="D8" i="16" a="1"/>
  <c r="D8" i="16" s="1"/>
  <c r="H7" i="16" a="1"/>
  <c r="H7" i="16" s="1"/>
  <c r="E13" i="20" a="1"/>
  <c r="E13" i="20" s="1"/>
  <c r="H13" i="20" s="1"/>
  <c r="B10" i="20" a="1"/>
  <c r="B10" i="20" s="1"/>
  <c r="C10" i="20" s="1"/>
  <c r="D7" i="20" a="1"/>
  <c r="D7" i="20" s="1"/>
  <c r="E5" i="20" a="1"/>
  <c r="E5" i="20" s="1"/>
  <c r="H5" i="20" s="1"/>
  <c r="B4" i="20" a="1"/>
  <c r="B4" i="20" s="1"/>
  <c r="C4" i="20" s="1"/>
  <c r="G6" i="19" a="1"/>
  <c r="G6" i="19" s="1"/>
  <c r="E4" i="19" a="1"/>
  <c r="E4" i="19" s="1"/>
  <c r="B9" i="18" a="1"/>
  <c r="B9" i="18" s="1"/>
  <c r="C9" i="18" s="1"/>
  <c r="H8" i="18" a="1"/>
  <c r="H8" i="18" s="1"/>
  <c r="D8" i="18" a="1"/>
  <c r="D8" i="18" s="1"/>
  <c r="K6" i="18" a="1"/>
  <c r="K6" i="18" s="1"/>
  <c r="G6" i="18" a="1"/>
  <c r="G6" i="18" s="1"/>
  <c r="K4" i="18" a="1"/>
  <c r="K4" i="18" s="1"/>
  <c r="G4" i="18" a="1"/>
  <c r="G4" i="18" s="1"/>
  <c r="F10" i="17" a="1"/>
  <c r="F10" i="17" s="1"/>
  <c r="E8" i="17" a="1"/>
  <c r="E8" i="17" s="1"/>
  <c r="B7" i="17" a="1"/>
  <c r="B7" i="17" s="1"/>
  <c r="C7" i="17" s="1"/>
  <c r="H6" i="17" a="1"/>
  <c r="H6" i="17" s="1"/>
  <c r="D6" i="17" a="1"/>
  <c r="D6" i="17" s="1"/>
  <c r="K4" i="17" a="1"/>
  <c r="K4" i="17" s="1"/>
  <c r="G4" i="17" a="1"/>
  <c r="G4" i="17" s="1"/>
  <c r="E6" i="16" a="1"/>
  <c r="E6" i="16" s="1"/>
  <c r="B5" i="16" a="1"/>
  <c r="B5" i="16" s="1"/>
  <c r="C5" i="16" s="1"/>
  <c r="E4" i="16" a="1"/>
  <c r="E4" i="16" s="1"/>
  <c r="B11" i="15" a="1"/>
  <c r="B11" i="15" s="1"/>
  <c r="C11" i="15" s="1"/>
  <c r="H10" i="15" a="1"/>
  <c r="H10" i="15" s="1"/>
  <c r="D10" i="15" a="1"/>
  <c r="D10" i="15" s="1"/>
  <c r="K8" i="15" a="1"/>
  <c r="K8" i="15" s="1"/>
  <c r="G8" i="15" a="1"/>
  <c r="G8" i="15" s="1"/>
  <c r="F6" i="15" a="1"/>
  <c r="F6" i="15" s="1"/>
  <c r="D14" i="20" a="1"/>
  <c r="D14" i="20" s="1"/>
  <c r="E12" i="20" a="1"/>
  <c r="E12" i="20" s="1"/>
  <c r="H12" i="20" s="1"/>
  <c r="B9" i="20" a="1"/>
  <c r="B9" i="20" s="1"/>
  <c r="C9" i="20" s="1"/>
  <c r="D6" i="20" a="1"/>
  <c r="D6" i="20" s="1"/>
  <c r="B6" i="19" a="1"/>
  <c r="B6" i="19" s="1"/>
  <c r="C6" i="19" s="1"/>
  <c r="G5" i="19" a="1"/>
  <c r="G5" i="19" s="1"/>
  <c r="F9" i="18" a="1"/>
  <c r="F9" i="18" s="1"/>
  <c r="E7" i="18" a="1"/>
  <c r="E7" i="18" s="1"/>
  <c r="B6" i="18" a="1"/>
  <c r="B6" i="18" s="1"/>
  <c r="C6" i="18" s="1"/>
  <c r="H5" i="18" a="1"/>
  <c r="H5" i="18" s="1"/>
  <c r="D5" i="18" a="1"/>
  <c r="D5" i="18" s="1"/>
  <c r="B4" i="18" a="1"/>
  <c r="B4" i="18" s="1"/>
  <c r="C4" i="18" s="1"/>
  <c r="H11" i="17" a="1"/>
  <c r="H11" i="17" s="1"/>
  <c r="D11" i="17" a="1"/>
  <c r="D11" i="17" s="1"/>
  <c r="K9" i="17" a="1"/>
  <c r="K9" i="17" s="1"/>
  <c r="G9" i="17" a="1"/>
  <c r="G9" i="17" s="1"/>
  <c r="F7" i="17" a="1"/>
  <c r="F7" i="17" s="1"/>
  <c r="E5" i="17" a="1"/>
  <c r="E5" i="17" s="1"/>
  <c r="B4" i="17" a="1"/>
  <c r="B4" i="17" s="1"/>
  <c r="C4" i="17" s="1"/>
  <c r="G11" i="16" a="1"/>
  <c r="G11" i="16" s="1"/>
  <c r="H10" i="16" a="1"/>
  <c r="H10" i="16" s="1"/>
  <c r="K8" i="16" a="1"/>
  <c r="K8" i="16" s="1"/>
  <c r="G8" i="16" a="1"/>
  <c r="G8" i="16" s="1"/>
  <c r="K7" i="16" a="1"/>
  <c r="K7" i="16" s="1"/>
  <c r="G7" i="16" a="1"/>
  <c r="G7" i="16" s="1"/>
  <c r="F5" i="16" a="1"/>
  <c r="F5" i="16" s="1"/>
  <c r="F11" i="15" a="1"/>
  <c r="F11" i="15" s="1"/>
  <c r="E9" i="15" a="1"/>
  <c r="E9" i="15" s="1"/>
  <c r="B8" i="15" a="1"/>
  <c r="B8" i="15" s="1"/>
  <c r="C8" i="15" s="1"/>
  <c r="H7" i="15" a="1"/>
  <c r="H7" i="15" s="1"/>
  <c r="D13" i="20" a="1"/>
  <c r="D13" i="20" s="1"/>
  <c r="E11" i="20" a="1"/>
  <c r="E11" i="20" s="1"/>
  <c r="H11" i="20" s="1"/>
  <c r="B8" i="20" a="1"/>
  <c r="B8" i="20" s="1"/>
  <c r="C8" i="20" s="1"/>
  <c r="D5" i="20" a="1"/>
  <c r="D5" i="20" s="1"/>
  <c r="J6" i="19" a="1"/>
  <c r="J6" i="19" s="1"/>
  <c r="F6" i="19" a="1"/>
  <c r="F6" i="19" s="1"/>
  <c r="B5" i="19" a="1"/>
  <c r="B5" i="19" s="1"/>
  <c r="C5" i="19" s="1"/>
  <c r="D4" i="19" a="1"/>
  <c r="D4" i="19" s="1"/>
  <c r="K8" i="18" a="1"/>
  <c r="K8" i="18" s="1"/>
  <c r="G8" i="18" a="1"/>
  <c r="G8" i="18" s="1"/>
  <c r="F6" i="18" a="1"/>
  <c r="F6" i="18" s="1"/>
  <c r="F4" i="18" a="1"/>
  <c r="F4" i="18" s="1"/>
  <c r="E10" i="17" a="1"/>
  <c r="E10" i="17" s="1"/>
  <c r="B9" i="17" a="1"/>
  <c r="B9" i="17" s="1"/>
  <c r="C9" i="17" s="1"/>
  <c r="H8" i="17" a="1"/>
  <c r="H8" i="17" s="1"/>
  <c r="D8" i="17" a="1"/>
  <c r="D8" i="17" s="1"/>
  <c r="K6" i="17" a="1"/>
  <c r="K6" i="17" s="1"/>
  <c r="G6" i="17" a="1"/>
  <c r="G6" i="17" s="1"/>
  <c r="F4" i="17" a="1"/>
  <c r="F4" i="17" s="1"/>
  <c r="B7" i="16" a="1"/>
  <c r="B7" i="16" s="1"/>
  <c r="C7" i="16" s="1"/>
  <c r="H6" i="16" a="1"/>
  <c r="H6" i="16" s="1"/>
  <c r="D6" i="16" a="1"/>
  <c r="D6" i="16" s="1"/>
  <c r="H4" i="16" a="1"/>
  <c r="H4" i="16" s="1"/>
  <c r="D4" i="16" a="1"/>
  <c r="D4" i="16" s="1"/>
  <c r="K10" i="15" a="1"/>
  <c r="K10" i="15" s="1"/>
  <c r="G10" i="15" a="1"/>
  <c r="G10" i="15" s="1"/>
  <c r="F8" i="15" a="1"/>
  <c r="F8" i="15" s="1"/>
  <c r="E6" i="15" a="1"/>
  <c r="E6" i="15" s="1"/>
  <c r="B5" i="15" a="1"/>
  <c r="B5" i="15" s="1"/>
  <c r="C5" i="15" s="1"/>
  <c r="E9" i="20" a="1"/>
  <c r="E9" i="20" s="1"/>
  <c r="H9" i="20" s="1"/>
  <c r="E9" i="18" a="1"/>
  <c r="E9" i="18" s="1"/>
  <c r="H7" i="18" a="1"/>
  <c r="H7" i="18" s="1"/>
  <c r="K5" i="18" a="1"/>
  <c r="K5" i="18" s="1"/>
  <c r="E7" i="17" a="1"/>
  <c r="E7" i="17" s="1"/>
  <c r="H5" i="17" a="1"/>
  <c r="H5" i="17" s="1"/>
  <c r="G11" i="15" a="1"/>
  <c r="G11" i="15" s="1"/>
  <c r="F10" i="15" a="1"/>
  <c r="F10" i="15" s="1"/>
  <c r="F9" i="15" a="1"/>
  <c r="F9" i="15" s="1"/>
  <c r="H5" i="15" a="1"/>
  <c r="H5" i="15" s="1"/>
  <c r="F4" i="15" a="1"/>
  <c r="F4" i="15" s="1"/>
  <c r="E9" i="14" a="1"/>
  <c r="E9" i="14" s="1"/>
  <c r="B8" i="14" a="1"/>
  <c r="B8" i="14" s="1"/>
  <c r="C8" i="14" s="1"/>
  <c r="H7" i="14" a="1"/>
  <c r="H7" i="14" s="1"/>
  <c r="D7" i="14" a="1"/>
  <c r="D7" i="14" s="1"/>
  <c r="K5" i="14" a="1"/>
  <c r="K5" i="14" s="1"/>
  <c r="B14" i="20" a="1"/>
  <c r="B14" i="20" s="1"/>
  <c r="C14" i="20" s="1"/>
  <c r="B6" i="20" a="1"/>
  <c r="B6" i="20" s="1"/>
  <c r="C6" i="20" s="1"/>
  <c r="E4" i="18" a="1"/>
  <c r="E4" i="18" s="1"/>
  <c r="H10" i="17" a="1"/>
  <c r="H10" i="17" s="1"/>
  <c r="K8" i="17" a="1"/>
  <c r="K8" i="17" s="1"/>
  <c r="G5" i="16" a="1"/>
  <c r="G5" i="16" s="1"/>
  <c r="G4" i="16" a="1"/>
  <c r="G4" i="16" s="1"/>
  <c r="E11" i="15" a="1"/>
  <c r="E11" i="15" s="1"/>
  <c r="D9" i="15" a="1"/>
  <c r="D9" i="15" s="1"/>
  <c r="G7" i="15" a="1"/>
  <c r="G7" i="15" s="1"/>
  <c r="D6" i="15" a="1"/>
  <c r="D6" i="15" s="1"/>
  <c r="G5" i="15" a="1"/>
  <c r="G5" i="15" s="1"/>
  <c r="K10" i="14" a="1"/>
  <c r="K10" i="14" s="1"/>
  <c r="G10" i="14" a="1"/>
  <c r="G10" i="14" s="1"/>
  <c r="F8" i="14" a="1"/>
  <c r="F8" i="14" s="1"/>
  <c r="E6" i="14" a="1"/>
  <c r="E6" i="14" s="1"/>
  <c r="B5" i="14" a="1"/>
  <c r="B5" i="14" s="1"/>
  <c r="C5" i="14" s="1"/>
  <c r="E6" i="19" a="1"/>
  <c r="E6" i="19" s="1"/>
  <c r="G4" i="19" a="1"/>
  <c r="G4" i="19" s="1"/>
  <c r="D10" i="17" a="1"/>
  <c r="D10" i="17" s="1"/>
  <c r="G8" i="17" a="1"/>
  <c r="G8" i="17" s="1"/>
  <c r="F11" i="16" a="1"/>
  <c r="F11" i="16" s="1"/>
  <c r="H9" i="16" a="1"/>
  <c r="H9" i="16" s="1"/>
  <c r="F7" i="16" a="1"/>
  <c r="F7" i="16" s="1"/>
  <c r="F7" i="15" a="1"/>
  <c r="F7" i="15" s="1"/>
  <c r="B6" i="15" a="1"/>
  <c r="B6" i="15" s="1"/>
  <c r="C6" i="15" s="1"/>
  <c r="F10" i="14" a="1"/>
  <c r="F10" i="14" s="1"/>
  <c r="E8" i="14" a="1"/>
  <c r="E8" i="14" s="1"/>
  <c r="B7" i="14" a="1"/>
  <c r="B7" i="14" s="1"/>
  <c r="C7" i="14" s="1"/>
  <c r="H6" i="14" a="1"/>
  <c r="H6" i="14" s="1"/>
  <c r="D6" i="14" a="1"/>
  <c r="D6" i="14" s="1"/>
  <c r="H4" i="14" a="1"/>
  <c r="H4" i="14" s="1"/>
  <c r="D4" i="14" a="1"/>
  <c r="D4" i="14" s="1"/>
  <c r="K6" i="13" a="1"/>
  <c r="K6" i="13" s="1"/>
  <c r="G6" i="13" a="1"/>
  <c r="G6" i="13" s="1"/>
  <c r="K4" i="13" a="1"/>
  <c r="K4" i="13" s="1"/>
  <c r="G4" i="13" a="1"/>
  <c r="G4" i="13" s="1"/>
  <c r="E10" i="20" a="1"/>
  <c r="E10" i="20" s="1"/>
  <c r="H10" i="20" s="1"/>
  <c r="J5" i="19" a="1"/>
  <c r="J5" i="19" s="1"/>
  <c r="G11" i="17" a="1"/>
  <c r="G11" i="17" s="1"/>
  <c r="E7" i="15" a="1"/>
  <c r="E7" i="15" s="1"/>
  <c r="H6" i="15" a="1"/>
  <c r="H6" i="15" s="1"/>
  <c r="K5" i="15" a="1"/>
  <c r="K5" i="15" s="1"/>
  <c r="E5" i="15" a="1"/>
  <c r="E5" i="15" s="1"/>
  <c r="D4" i="15" a="1"/>
  <c r="D4" i="15" s="1"/>
  <c r="K9" i="14" a="1"/>
  <c r="K9" i="14" s="1"/>
  <c r="G9" i="14" a="1"/>
  <c r="G9" i="14" s="1"/>
  <c r="F7" i="14" a="1"/>
  <c r="F7" i="14" s="1"/>
  <c r="E5" i="14" a="1"/>
  <c r="E5" i="14" s="1"/>
  <c r="E7" i="13" a="1"/>
  <c r="E7" i="13" s="1"/>
  <c r="B6" i="13" a="1"/>
  <c r="B6" i="13" s="1"/>
  <c r="C6" i="13" s="1"/>
  <c r="H5" i="13" a="1"/>
  <c r="H5" i="13" s="1"/>
  <c r="D5" i="13" a="1"/>
  <c r="D5" i="13" s="1"/>
  <c r="B4" i="13" a="1"/>
  <c r="B4" i="13" s="1"/>
  <c r="C4" i="13" s="1"/>
  <c r="E6" i="18" a="1"/>
  <c r="E6" i="18" s="1"/>
  <c r="B11" i="17" a="1"/>
  <c r="B11" i="17" s="1"/>
  <c r="C11" i="17" s="1"/>
  <c r="E4" i="17" a="1"/>
  <c r="E4" i="17" s="1"/>
  <c r="G10" i="16" a="1"/>
  <c r="G10" i="16" s="1"/>
  <c r="F8" i="16" a="1"/>
  <c r="F8" i="16" s="1"/>
  <c r="K6" i="16" a="1"/>
  <c r="K6" i="16" s="1"/>
  <c r="G9" i="15" a="1"/>
  <c r="G9" i="15" s="1"/>
  <c r="B7" i="15" a="1"/>
  <c r="B7" i="15" s="1"/>
  <c r="C7" i="15" s="1"/>
  <c r="B4" i="15" a="1"/>
  <c r="B4" i="15" s="1"/>
  <c r="C4" i="15" s="1"/>
  <c r="H10" i="14" a="1"/>
  <c r="H10" i="14" s="1"/>
  <c r="D10" i="14" a="1"/>
  <c r="D10" i="14" s="1"/>
  <c r="K8" i="14" a="1"/>
  <c r="K8" i="14" s="1"/>
  <c r="G8" i="14" a="1"/>
  <c r="G8" i="14" s="1"/>
  <c r="F6" i="14" a="1"/>
  <c r="F6" i="14" s="1"/>
  <c r="F4" i="14" a="1"/>
  <c r="F4" i="14" s="1"/>
  <c r="E6" i="13" a="1"/>
  <c r="E6" i="13" s="1"/>
  <c r="B5" i="13" a="1"/>
  <c r="B5" i="13" s="1"/>
  <c r="C5" i="13" s="1"/>
  <c r="E4" i="13" a="1"/>
  <c r="E4" i="13" s="1"/>
  <c r="E4" i="20" a="1"/>
  <c r="E4" i="20" s="1"/>
  <c r="H4" i="20" s="1"/>
  <c r="F8" i="18" a="1"/>
  <c r="F8" i="18" s="1"/>
  <c r="K11" i="17" a="1"/>
  <c r="K11" i="17" s="1"/>
  <c r="D7" i="16" a="1"/>
  <c r="D7" i="16" s="1"/>
  <c r="D7" i="15" a="1"/>
  <c r="D7" i="15" s="1"/>
  <c r="F5" i="15" a="1"/>
  <c r="F5" i="15" s="1"/>
  <c r="G6" i="14" a="1"/>
  <c r="G6" i="14" s="1"/>
  <c r="G5" i="14" a="1"/>
  <c r="G5" i="14" s="1"/>
  <c r="F5" i="13" a="1"/>
  <c r="F5" i="13" s="1"/>
  <c r="D4" i="13" a="1"/>
  <c r="D4" i="13" s="1"/>
  <c r="B8" i="18" a="1"/>
  <c r="B8" i="18" s="1"/>
  <c r="C8" i="18" s="1"/>
  <c r="K11" i="15" a="1"/>
  <c r="K11" i="15" s="1"/>
  <c r="D5" i="15" a="1"/>
  <c r="D5" i="15" s="1"/>
  <c r="H8" i="14" a="1"/>
  <c r="H8" i="14" s="1"/>
  <c r="G7" i="14" a="1"/>
  <c r="G7" i="14" s="1"/>
  <c r="F5" i="14" a="1"/>
  <c r="F5" i="14" s="1"/>
  <c r="B4" i="14" a="1"/>
  <c r="B4" i="14" s="1"/>
  <c r="C4" i="14" s="1"/>
  <c r="F7" i="13" a="1"/>
  <c r="F7" i="13" s="1"/>
  <c r="E4" i="12" a="1"/>
  <c r="E4" i="12" s="1"/>
  <c r="B7" i="20" a="1"/>
  <c r="B7" i="20" s="1"/>
  <c r="C7" i="20" s="1"/>
  <c r="F5" i="19" a="1"/>
  <c r="F5" i="19" s="1"/>
  <c r="B6" i="17" a="1"/>
  <c r="B6" i="17" s="1"/>
  <c r="C6" i="17" s="1"/>
  <c r="E7" i="14" a="1"/>
  <c r="E7" i="14" s="1"/>
  <c r="D5" i="14" a="1"/>
  <c r="D5" i="14" s="1"/>
  <c r="G4" i="14" a="1"/>
  <c r="G4" i="14" s="1"/>
  <c r="D7" i="13" a="1"/>
  <c r="D7" i="13" s="1"/>
  <c r="H4" i="13" a="1"/>
  <c r="H4" i="13" s="1"/>
  <c r="H4" i="12" a="1"/>
  <c r="H4" i="12" s="1"/>
  <c r="D4" i="12" a="1"/>
  <c r="D4" i="12" s="1"/>
  <c r="E4" i="10" a="1"/>
  <c r="E4" i="10" s="1"/>
  <c r="D11" i="20" a="1"/>
  <c r="D11" i="20" s="1"/>
  <c r="D5" i="17" a="1"/>
  <c r="D5" i="17" s="1"/>
  <c r="K5" i="16" a="1"/>
  <c r="K5" i="16" s="1"/>
  <c r="E8" i="15" a="1"/>
  <c r="E8" i="15" s="1"/>
  <c r="H4" i="15" a="1"/>
  <c r="H4" i="15" s="1"/>
  <c r="F9" i="14" a="1"/>
  <c r="F9" i="14" s="1"/>
  <c r="D8" i="14" a="1"/>
  <c r="D8" i="14" s="1"/>
  <c r="B6" i="14" a="1"/>
  <c r="B6" i="14" s="1"/>
  <c r="C6" i="14" s="1"/>
  <c r="F6" i="13" a="1"/>
  <c r="F6" i="13" s="1"/>
  <c r="K4" i="16" a="1"/>
  <c r="K4" i="16" s="1"/>
  <c r="H9" i="15" a="1"/>
  <c r="H9" i="15" s="1"/>
  <c r="B10" i="14" a="1"/>
  <c r="B10" i="14" s="1"/>
  <c r="C10" i="14" s="1"/>
  <c r="H5" i="14" a="1"/>
  <c r="H5" i="14" s="1"/>
  <c r="G7" i="13" a="1"/>
  <c r="G7" i="13" s="1"/>
  <c r="D6" i="13" a="1"/>
  <c r="D6" i="13" s="1"/>
  <c r="G5" i="13" a="1"/>
  <c r="G5" i="13" s="1"/>
  <c r="F4" i="12" a="1"/>
  <c r="F4" i="12" s="1"/>
  <c r="B4" i="11" a="1"/>
  <c r="B4" i="11" s="1"/>
  <c r="C4" i="11" s="1"/>
  <c r="K4" i="10" a="1"/>
  <c r="K4" i="10" s="1"/>
  <c r="G4" i="10" a="1"/>
  <c r="G4" i="10" s="1"/>
  <c r="G5" i="18" a="1"/>
  <c r="G5" i="18" s="1"/>
  <c r="G6" i="16" a="1"/>
  <c r="G6" i="16" s="1"/>
  <c r="E10" i="14" a="1"/>
  <c r="E10" i="14" s="1"/>
  <c r="K4" i="14" a="1"/>
  <c r="K4" i="14" s="1"/>
  <c r="B7" i="13" a="1"/>
  <c r="B7" i="13" s="1"/>
  <c r="C7" i="13" s="1"/>
  <c r="E5" i="13" a="1"/>
  <c r="E5" i="13" s="1"/>
  <c r="B4" i="12" a="1"/>
  <c r="B4" i="12" s="1"/>
  <c r="C4" i="12" s="1"/>
  <c r="K5" i="11" a="1"/>
  <c r="K5" i="11" s="1"/>
  <c r="F5" i="11" a="1"/>
  <c r="F5" i="11" s="1"/>
  <c r="G4" i="11" a="1"/>
  <c r="G4" i="11" s="1"/>
  <c r="B5" i="18" a="1"/>
  <c r="B5" i="18" s="1"/>
  <c r="C5" i="18" s="1"/>
  <c r="E5" i="16" a="1"/>
  <c r="E5" i="16" s="1"/>
  <c r="K6" i="14" a="1"/>
  <c r="K6" i="14" s="1"/>
  <c r="K4" i="12" a="1"/>
  <c r="K4" i="12" s="1"/>
  <c r="E5" i="11" a="1"/>
  <c r="E5" i="11" s="1"/>
  <c r="F4" i="11" a="1"/>
  <c r="F4" i="11" s="1"/>
  <c r="D4" i="10" a="1"/>
  <c r="D4" i="10" s="1"/>
  <c r="D4" i="9" a="1"/>
  <c r="D4" i="9" s="1"/>
  <c r="D12" i="20" a="1"/>
  <c r="D12" i="20" s="1"/>
  <c r="H9" i="14" a="1"/>
  <c r="H9" i="14" s="1"/>
  <c r="H6" i="13" a="1"/>
  <c r="H6" i="13" s="1"/>
  <c r="K4" i="11" a="1"/>
  <c r="K4" i="11" s="1"/>
  <c r="F9" i="17" a="1"/>
  <c r="F9" i="17" s="1"/>
  <c r="D9" i="14" a="1"/>
  <c r="D9" i="14" s="1"/>
  <c r="E4" i="14" a="1"/>
  <c r="E4" i="14" s="1"/>
  <c r="D5" i="11" a="1"/>
  <c r="D5" i="11" s="1"/>
  <c r="E4" i="11" a="1"/>
  <c r="E4" i="11" s="1"/>
  <c r="B5" i="10" a="1"/>
  <c r="B5" i="10" s="1"/>
  <c r="C5" i="10" s="1"/>
  <c r="H4" i="10" a="1"/>
  <c r="H4" i="10" s="1"/>
  <c r="B4" i="10" a="1"/>
  <c r="B4" i="10" s="1"/>
  <c r="C4" i="10" s="1"/>
  <c r="H4" i="9" a="1"/>
  <c r="H4" i="9" s="1"/>
  <c r="B4" i="9" a="1"/>
  <c r="B4" i="9" s="1"/>
  <c r="C4" i="9" s="1"/>
  <c r="B9" i="14" a="1"/>
  <c r="B9" i="14" s="1"/>
  <c r="C9" i="14" s="1"/>
  <c r="K7" i="13" a="1"/>
  <c r="K7" i="13" s="1"/>
  <c r="F4" i="13" a="1"/>
  <c r="F4" i="13" s="1"/>
  <c r="G4" i="12" a="1"/>
  <c r="G4" i="12" s="1"/>
  <c r="D4" i="11" a="1"/>
  <c r="D4" i="11" s="1"/>
  <c r="G4" i="9" a="1"/>
  <c r="G4" i="9" s="1"/>
  <c r="F6" i="17" a="1"/>
  <c r="F6" i="17" s="1"/>
  <c r="B10" i="15" a="1"/>
  <c r="B10" i="15" s="1"/>
  <c r="C10" i="15" s="1"/>
  <c r="K5" i="13" a="1"/>
  <c r="K5" i="13" s="1"/>
  <c r="G5" i="12" a="1"/>
  <c r="G5" i="12" s="1"/>
  <c r="H5" i="11" a="1"/>
  <c r="H5" i="11" s="1"/>
  <c r="B5" i="11" a="1"/>
  <c r="B5" i="11" s="1"/>
  <c r="C5" i="11" s="1"/>
  <c r="E4" i="15" a="1"/>
  <c r="E4" i="15" s="1"/>
  <c r="H7" i="13" a="1"/>
  <c r="H7" i="13" s="1"/>
  <c r="E5" i="12" a="1"/>
  <c r="E5" i="12" s="1"/>
  <c r="E9" i="11" a="1"/>
  <c r="E9" i="11" s="1"/>
  <c r="D8" i="11" a="1"/>
  <c r="D8" i="11" s="1"/>
  <c r="H6" i="11" a="1"/>
  <c r="H6" i="11" s="1"/>
  <c r="B6" i="11" a="1"/>
  <c r="B6" i="11" s="1"/>
  <c r="C6" i="11" s="1"/>
  <c r="G5" i="11" a="1"/>
  <c r="G5" i="11" s="1"/>
  <c r="H4" i="11" a="1"/>
  <c r="H4" i="11" s="1"/>
  <c r="K5" i="10" a="1"/>
  <c r="K5" i="10" s="1"/>
  <c r="F4" i="10" a="1"/>
  <c r="F4" i="10" s="1"/>
  <c r="K4" i="9" a="1"/>
  <c r="K4" i="9" s="1"/>
  <c r="F4" i="9" a="1"/>
  <c r="F4" i="9" s="1"/>
  <c r="D7" i="18" a="1"/>
  <c r="D7" i="18" s="1"/>
  <c r="K7" i="15" a="1"/>
  <c r="K7" i="15" s="1"/>
  <c r="K7" i="14" a="1"/>
  <c r="K7" i="14" s="1"/>
  <c r="D5" i="12" a="1"/>
  <c r="D5" i="12" s="1"/>
  <c r="E5" i="10" a="1"/>
  <c r="E5" i="10" s="1"/>
  <c r="E4" i="9" a="1"/>
  <c r="E4" i="9" s="1"/>
  <c r="B44" i="8"/>
  <c r="D51" i="8"/>
  <c r="B51" i="8"/>
  <c r="F51" i="8"/>
  <c r="B41" i="8"/>
  <c r="E43" i="8"/>
  <c r="F44" i="8"/>
  <c r="G45" i="8"/>
  <c r="D46" i="8"/>
  <c r="C49" i="8"/>
  <c r="D50" i="8"/>
  <c r="B50" i="8"/>
  <c r="F50" i="8"/>
  <c r="E52" i="8"/>
  <c r="C57" i="8"/>
  <c r="D58" i="8"/>
  <c r="C65" i="8"/>
  <c r="D66" i="8"/>
  <c r="C41" i="8"/>
  <c r="G44" i="8"/>
  <c r="A51" i="8"/>
  <c r="K6" i="10" a="1"/>
  <c r="K6" i="10" s="1"/>
  <c r="D52" i="8"/>
  <c r="B52" i="8"/>
  <c r="F52" i="8"/>
  <c r="F41" i="8"/>
  <c r="D43" i="8"/>
  <c r="D49" i="8"/>
  <c r="B49" i="8"/>
  <c r="F49" i="8"/>
  <c r="E51" i="8"/>
  <c r="C56" i="8"/>
  <c r="D57" i="8"/>
  <c r="C64" i="8"/>
  <c r="D65" i="8"/>
  <c r="G41" i="8"/>
  <c r="D42" i="8"/>
  <c r="A44" i="8"/>
  <c r="B45" i="8"/>
  <c r="G51" i="8"/>
  <c r="D54" i="8"/>
  <c r="B54" i="8"/>
  <c r="F54" i="8"/>
  <c r="D62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K9" i="11" a="1"/>
  <c r="K9" i="11" s="1"/>
  <c r="G9" i="11" a="1"/>
  <c r="G9" i="11" s="1"/>
  <c r="A10" i="11"/>
  <c r="G6" i="11" a="1"/>
  <c r="G6" i="11" s="1"/>
  <c r="B7" i="11" a="1"/>
  <c r="B7" i="11" s="1"/>
  <c r="C7" i="11" s="1"/>
  <c r="H7" i="11" a="1"/>
  <c r="H7" i="11" s="1"/>
  <c r="F7" i="10" a="1"/>
  <c r="F7" i="10" s="1"/>
  <c r="H7" i="10" a="1"/>
  <c r="H7" i="10" s="1"/>
  <c r="D7" i="10" a="1"/>
  <c r="D7" i="10" s="1"/>
  <c r="G7" i="10" a="1"/>
  <c r="G7" i="10" s="1"/>
  <c r="H6" i="10" a="1"/>
  <c r="H6" i="10" s="1"/>
  <c r="D6" i="10" a="1"/>
  <c r="D6" i="10" s="1"/>
  <c r="F6" i="10" a="1"/>
  <c r="F6" i="10" s="1"/>
  <c r="G6" i="10" a="1"/>
  <c r="G6" i="10" s="1"/>
  <c r="B7" i="10" a="1"/>
  <c r="B7" i="10" s="1"/>
  <c r="C7" i="10" s="1"/>
  <c r="D7" i="11" a="1"/>
  <c r="D7" i="11" s="1"/>
  <c r="F9" i="11" a="1"/>
  <c r="F9" i="11" s="1"/>
  <c r="F5" i="10" a="1"/>
  <c r="F5" i="10" s="1"/>
  <c r="H5" i="10" a="1"/>
  <c r="H5" i="10" s="1"/>
  <c r="D5" i="10" a="1"/>
  <c r="D5" i="10" s="1"/>
  <c r="G5" i="10" a="1"/>
  <c r="G5" i="10" s="1"/>
  <c r="B6" i="10" a="1"/>
  <c r="B6" i="10" s="1"/>
  <c r="C6" i="10" s="1"/>
  <c r="D6" i="11" a="1"/>
  <c r="D6" i="11" s="1"/>
  <c r="E8" i="11" a="1"/>
  <c r="E8" i="11" s="1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E7" i="11" a="1"/>
  <c r="E7" i="11" s="1"/>
  <c r="F8" i="11" a="1"/>
  <c r="F8" i="11" s="1"/>
  <c r="K8" i="11" a="1"/>
  <c r="K8" i="11" s="1"/>
  <c r="H9" i="11" a="1"/>
  <c r="H9" i="11" s="1"/>
  <c r="E6" i="11" a="1"/>
  <c r="E6" i="11" s="1"/>
  <c r="F7" i="11" a="1"/>
  <c r="F7" i="11" s="1"/>
  <c r="K7" i="11" a="1"/>
  <c r="K7" i="11" s="1"/>
  <c r="E7" i="10" a="1"/>
  <c r="E7" i="10" s="1"/>
  <c r="F6" i="11" a="1"/>
  <c r="F6" i="11" s="1"/>
  <c r="K6" i="11" a="1"/>
  <c r="K6" i="11" s="1"/>
  <c r="G8" i="11" a="1"/>
  <c r="G8" i="11" s="1"/>
  <c r="B9" i="11" a="1"/>
  <c r="B9" i="11" s="1"/>
  <c r="C9" i="11" s="1"/>
  <c r="E6" i="10" a="1"/>
  <c r="E6" i="10" s="1"/>
  <c r="K7" i="10" a="1"/>
  <c r="K7" i="10" s="1"/>
  <c r="G7" i="11" a="1"/>
  <c r="G7" i="11" s="1"/>
  <c r="B8" i="11" a="1"/>
  <c r="B8" i="11" s="1"/>
  <c r="C8" i="11" s="1"/>
  <c r="H8" i="11" a="1"/>
  <c r="H8" i="11" s="1"/>
  <c r="D9" i="11" a="1"/>
  <c r="D9" i="11" s="1"/>
  <c r="B5" i="12" a="1"/>
  <c r="B5" i="12" s="1"/>
  <c r="C5" i="12" s="1"/>
  <c r="H5" i="12" a="1"/>
  <c r="H5" i="12" s="1"/>
  <c r="A6" i="12"/>
  <c r="F5" i="12" a="1"/>
  <c r="F5" i="12" s="1"/>
  <c r="K5" i="12" a="1"/>
  <c r="K5" i="12" s="1"/>
  <c r="A19" i="1" l="1"/>
  <c r="C17" i="3" a="1"/>
  <c r="C17" i="3" s="1"/>
  <c r="C11" i="2" a="1"/>
  <c r="C11" i="2" s="1"/>
  <c r="D9" i="2"/>
  <c r="C15" i="2" a="1"/>
  <c r="C15" i="2" s="1"/>
  <c r="D13" i="2"/>
  <c r="C8" i="2" a="1"/>
  <c r="C8" i="2" s="1"/>
  <c r="D10" i="2"/>
  <c r="C14" i="2" a="1"/>
  <c r="C14" i="2" s="1"/>
  <c r="D21" i="2"/>
  <c r="C5" i="3" a="1"/>
  <c r="C5" i="3" s="1"/>
  <c r="C18" i="2" a="1"/>
  <c r="C18" i="2" s="1"/>
  <c r="D20" i="2"/>
  <c r="C19" i="2" a="1"/>
  <c r="C19" i="2" s="1"/>
  <c r="D17" i="2"/>
  <c r="C12" i="2" a="1"/>
  <c r="C12" i="2" s="1"/>
  <c r="D14" i="2"/>
  <c r="D8" i="2"/>
  <c r="D19" i="2"/>
  <c r="C31" i="3" a="1"/>
  <c r="C31" i="3" s="1"/>
  <c r="C13" i="2" a="1"/>
  <c r="C13" i="2" s="1"/>
  <c r="D11" i="2"/>
  <c r="C16" i="2" a="1"/>
  <c r="C16" i="2" s="1"/>
  <c r="D18" i="2"/>
  <c r="C17" i="2" a="1"/>
  <c r="C17" i="2" s="1"/>
  <c r="D15" i="2"/>
  <c r="C10" i="2" a="1"/>
  <c r="C10" i="2" s="1"/>
  <c r="D12" i="2"/>
  <c r="J5" i="17" a="1"/>
  <c r="J5" i="17" s="1"/>
  <c r="I5" i="17" a="1"/>
  <c r="I5" i="17" s="1"/>
  <c r="C24" i="5" a="1"/>
  <c r="C24" i="5" s="1"/>
  <c r="D24" i="5"/>
  <c r="D9" i="3"/>
  <c r="C9" i="3" a="1"/>
  <c r="C9" i="3" s="1"/>
  <c r="F1" i="1"/>
  <c r="A4" i="1"/>
  <c r="D22" i="3"/>
  <c r="C22" i="3" a="1"/>
  <c r="C22" i="3" s="1"/>
  <c r="A17" i="1"/>
  <c r="E10" i="11" a="1"/>
  <c r="E10" i="11" s="1"/>
  <c r="A11" i="11"/>
  <c r="F10" i="11" a="1"/>
  <c r="F10" i="11" s="1"/>
  <c r="K10" i="11" a="1"/>
  <c r="K10" i="11" s="1"/>
  <c r="D10" i="11" a="1"/>
  <c r="D10" i="11" s="1"/>
  <c r="B10" i="11" a="1"/>
  <c r="B10" i="11" s="1"/>
  <c r="C10" i="11" s="1"/>
  <c r="H10" i="11" a="1"/>
  <c r="H10" i="11" s="1"/>
  <c r="G10" i="11" a="1"/>
  <c r="G10" i="11" s="1"/>
  <c r="J7" i="14" a="1"/>
  <c r="J7" i="14" s="1"/>
  <c r="I7" i="14" a="1"/>
  <c r="I7" i="14" s="1"/>
  <c r="I5" i="19" a="1"/>
  <c r="I5" i="19" s="1"/>
  <c r="H5" i="19" a="1"/>
  <c r="H5" i="19" s="1"/>
  <c r="J10" i="14" a="1"/>
  <c r="J10" i="14" s="1"/>
  <c r="I10" i="14" a="1"/>
  <c r="I10" i="14" s="1"/>
  <c r="L4" i="14" a="1"/>
  <c r="L4" i="14" s="1"/>
  <c r="J4" i="14" a="1"/>
  <c r="J4" i="14" s="1"/>
  <c r="I4" i="14" a="1"/>
  <c r="I4" i="14" s="1"/>
  <c r="I9" i="15" a="1"/>
  <c r="I9" i="15" s="1"/>
  <c r="J9" i="15" a="1"/>
  <c r="J9" i="15" s="1"/>
  <c r="J6" i="16" a="1"/>
  <c r="J6" i="16" s="1"/>
  <c r="I6" i="16" a="1"/>
  <c r="I6" i="16" s="1"/>
  <c r="I8" i="18" a="1"/>
  <c r="I8" i="18" s="1"/>
  <c r="J8" i="18" a="1"/>
  <c r="J8" i="18" s="1"/>
  <c r="L4" i="18" a="1"/>
  <c r="L4" i="18" s="1"/>
  <c r="J4" i="18" a="1"/>
  <c r="J4" i="18" s="1"/>
  <c r="I4" i="18" a="1"/>
  <c r="I4" i="18" s="1"/>
  <c r="H6" i="19" a="1"/>
  <c r="H6" i="19" s="1"/>
  <c r="I6" i="19" a="1"/>
  <c r="I6" i="19" s="1"/>
  <c r="J5" i="16" a="1"/>
  <c r="J5" i="16" s="1"/>
  <c r="I5" i="16" a="1"/>
  <c r="I5" i="16" s="1"/>
  <c r="C9" i="5" a="1"/>
  <c r="C9" i="5" s="1"/>
  <c r="D9" i="5"/>
  <c r="A27" i="1"/>
  <c r="D16" i="3"/>
  <c r="C16" i="3" a="1"/>
  <c r="C16" i="3" s="1"/>
  <c r="A12" i="1"/>
  <c r="D7" i="4"/>
  <c r="C7" i="4" a="1"/>
  <c r="C7" i="4" s="1"/>
  <c r="D18" i="3"/>
  <c r="C18" i="3" a="1"/>
  <c r="C18" i="3" s="1"/>
  <c r="A22" i="1"/>
  <c r="D21" i="3"/>
  <c r="C21" i="3" a="1"/>
  <c r="C21" i="3" s="1"/>
  <c r="D26" i="3"/>
  <c r="C26" i="3" a="1"/>
  <c r="C26" i="3" s="1"/>
  <c r="A24" i="1"/>
  <c r="A31" i="1"/>
  <c r="J5" i="10" a="1"/>
  <c r="J5" i="10" s="1"/>
  <c r="I5" i="10" a="1"/>
  <c r="I5" i="10" s="1"/>
  <c r="D5" i="6"/>
  <c r="C5" i="6" a="1"/>
  <c r="C5" i="6" s="1"/>
  <c r="C12" i="5" a="1"/>
  <c r="C12" i="5" s="1"/>
  <c r="D12" i="5"/>
  <c r="A11" i="1"/>
  <c r="D4" i="5"/>
  <c r="C4" i="5" a="1"/>
  <c r="C4" i="5" s="1"/>
  <c r="D4" i="4"/>
  <c r="C4" i="4" a="1"/>
  <c r="C4" i="4" s="1"/>
  <c r="A6" i="1"/>
  <c r="C24" i="3" a="1"/>
  <c r="C24" i="3" s="1"/>
  <c r="D24" i="3"/>
  <c r="A34" i="1"/>
  <c r="A29" i="1"/>
  <c r="A5" i="1"/>
  <c r="J7" i="17" a="1"/>
  <c r="J7" i="17" s="1"/>
  <c r="I7" i="17" a="1"/>
  <c r="I7" i="17" s="1"/>
  <c r="C14" i="5" a="1"/>
  <c r="C14" i="5" s="1"/>
  <c r="D14" i="5"/>
  <c r="A14" i="1"/>
  <c r="D20" i="3"/>
  <c r="C20" i="3" a="1"/>
  <c r="C20" i="3" s="1"/>
  <c r="D27" i="3"/>
  <c r="C27" i="3" a="1"/>
  <c r="C27" i="3" s="1"/>
  <c r="A15" i="1"/>
  <c r="I5" i="12" a="1"/>
  <c r="I5" i="12" s="1"/>
  <c r="J5" i="12" a="1"/>
  <c r="J5" i="12" s="1"/>
  <c r="L4" i="11" a="1"/>
  <c r="L4" i="11" s="1"/>
  <c r="J4" i="11" a="1"/>
  <c r="J4" i="11" s="1"/>
  <c r="I4" i="11" a="1"/>
  <c r="I4" i="11" s="1"/>
  <c r="I6" i="14" a="1"/>
  <c r="I6" i="14" s="1"/>
  <c r="J6" i="14" a="1"/>
  <c r="J6" i="14" s="1"/>
  <c r="I9" i="17" a="1"/>
  <c r="I9" i="17" s="1"/>
  <c r="J9" i="17" a="1"/>
  <c r="J9" i="17" s="1"/>
  <c r="J6" i="18" a="1"/>
  <c r="J6" i="18" s="1"/>
  <c r="I6" i="18" a="1"/>
  <c r="I6" i="18" s="1"/>
  <c r="I8" i="16" a="1"/>
  <c r="I8" i="16" s="1"/>
  <c r="J8" i="16" a="1"/>
  <c r="J8" i="16" s="1"/>
  <c r="J8" i="15" a="1"/>
  <c r="J8" i="15" s="1"/>
  <c r="I8" i="15" a="1"/>
  <c r="I8" i="15" s="1"/>
  <c r="C13" i="5" a="1"/>
  <c r="C13" i="5" s="1"/>
  <c r="D13" i="5"/>
  <c r="D29" i="3"/>
  <c r="C29" i="3" a="1"/>
  <c r="C29" i="3" s="1"/>
  <c r="D34" i="3"/>
  <c r="C34" i="3" a="1"/>
  <c r="C34" i="3" s="1"/>
  <c r="A26" i="1"/>
  <c r="C21" i="2" a="1"/>
  <c r="C21" i="2" s="1"/>
  <c r="D6" i="3"/>
  <c r="B6" i="12" a="1"/>
  <c r="B6" i="12" s="1"/>
  <c r="C6" i="12" s="1"/>
  <c r="H6" i="12" a="1"/>
  <c r="H6" i="12" s="1"/>
  <c r="G6" i="12" a="1"/>
  <c r="G6" i="12" s="1"/>
  <c r="A7" i="12"/>
  <c r="F6" i="12" a="1"/>
  <c r="F6" i="12" s="1"/>
  <c r="D6" i="12" a="1"/>
  <c r="D6" i="12" s="1"/>
  <c r="E6" i="12" a="1"/>
  <c r="E6" i="12" s="1"/>
  <c r="K6" i="12" a="1"/>
  <c r="K6" i="12" s="1"/>
  <c r="J6" i="10" a="1"/>
  <c r="J6" i="10" s="1"/>
  <c r="I6" i="10" a="1"/>
  <c r="I6" i="10" s="1"/>
  <c r="J5" i="18" a="1"/>
  <c r="J5" i="18" s="1"/>
  <c r="I5" i="18" a="1"/>
  <c r="I5" i="18" s="1"/>
  <c r="J4" i="17" a="1"/>
  <c r="J4" i="17" s="1"/>
  <c r="I4" i="17" a="1"/>
  <c r="I4" i="17" s="1"/>
  <c r="C23" i="5" a="1"/>
  <c r="C23" i="5" s="1"/>
  <c r="D23" i="5"/>
  <c r="J7" i="10" a="1"/>
  <c r="J7" i="10" s="1"/>
  <c r="I7" i="10" a="1"/>
  <c r="I7" i="10" s="1"/>
  <c r="J8" i="14" a="1"/>
  <c r="J8" i="14" s="1"/>
  <c r="I8" i="14" a="1"/>
  <c r="I8" i="14" s="1"/>
  <c r="I7" i="15" a="1"/>
  <c r="I7" i="15" s="1"/>
  <c r="J7" i="15" a="1"/>
  <c r="J7" i="15" s="1"/>
  <c r="J4" i="15" a="1"/>
  <c r="J4" i="15" s="1"/>
  <c r="I4" i="15" a="1"/>
  <c r="I4" i="15" s="1"/>
  <c r="L4" i="15" a="1"/>
  <c r="L4" i="15" s="1"/>
  <c r="C20" i="5" a="1"/>
  <c r="C20" i="5" s="1"/>
  <c r="D20" i="5"/>
  <c r="C4" i="7" a="1"/>
  <c r="C4" i="7" s="1"/>
  <c r="D4" i="7"/>
  <c r="C17" i="5" a="1"/>
  <c r="C17" i="5" s="1"/>
  <c r="D17" i="5"/>
  <c r="C4" i="6" a="1"/>
  <c r="C4" i="6" s="1"/>
  <c r="D4" i="6"/>
  <c r="C19" i="5" a="1"/>
  <c r="C19" i="5" s="1"/>
  <c r="D19" i="5"/>
  <c r="D14" i="3"/>
  <c r="C14" i="3" a="1"/>
  <c r="C14" i="3" s="1"/>
  <c r="C11" i="5" a="1"/>
  <c r="C11" i="5" s="1"/>
  <c r="D11" i="5"/>
  <c r="C18" i="5" a="1"/>
  <c r="C18" i="5" s="1"/>
  <c r="D18" i="5"/>
  <c r="D5" i="5"/>
  <c r="C5" i="5" a="1"/>
  <c r="C5" i="5" s="1"/>
  <c r="D5" i="4"/>
  <c r="C5" i="4" a="1"/>
  <c r="C5" i="4" s="1"/>
  <c r="C11" i="3" a="1"/>
  <c r="C11" i="3" s="1"/>
  <c r="D11" i="3"/>
  <c r="D5" i="3"/>
  <c r="D28" i="3"/>
  <c r="C28" i="3" a="1"/>
  <c r="C28" i="3" s="1"/>
  <c r="A18" i="1"/>
  <c r="C20" i="2" a="1"/>
  <c r="C20" i="2" s="1"/>
  <c r="A33" i="1"/>
  <c r="J11" i="15" a="1"/>
  <c r="J11" i="15" s="1"/>
  <c r="I11" i="15" a="1"/>
  <c r="I11" i="15" s="1"/>
  <c r="C16" i="5" a="1"/>
  <c r="C16" i="5" s="1"/>
  <c r="D16" i="5"/>
  <c r="D23" i="3"/>
  <c r="C23" i="3" a="1"/>
  <c r="C23" i="3" s="1"/>
  <c r="A8" i="1"/>
  <c r="C5" i="7" a="1"/>
  <c r="C5" i="7" s="1"/>
  <c r="D5" i="7"/>
  <c r="C30" i="3" a="1"/>
  <c r="C30" i="3" s="1"/>
  <c r="D30" i="3"/>
  <c r="D32" i="3"/>
  <c r="C32" i="3" a="1"/>
  <c r="C32" i="3" s="1"/>
  <c r="D13" i="3"/>
  <c r="C13" i="3" a="1"/>
  <c r="C13" i="3" s="1"/>
  <c r="D31" i="3"/>
  <c r="A10" i="1"/>
  <c r="A23" i="1"/>
  <c r="I5" i="14" a="1"/>
  <c r="I5" i="14" s="1"/>
  <c r="J5" i="14" a="1"/>
  <c r="J5" i="14" s="1"/>
  <c r="C21" i="5" a="1"/>
  <c r="C21" i="5" s="1"/>
  <c r="D21" i="5"/>
  <c r="C15" i="5" a="1"/>
  <c r="C15" i="5" s="1"/>
  <c r="D15" i="5"/>
  <c r="A16" i="1"/>
  <c r="J11" i="17" a="1"/>
  <c r="J11" i="17" s="1"/>
  <c r="I11" i="17" a="1"/>
  <c r="I11" i="17" s="1"/>
  <c r="C25" i="5" a="1"/>
  <c r="C25" i="5" s="1"/>
  <c r="D25" i="5"/>
  <c r="C10" i="5" a="1"/>
  <c r="C10" i="5" s="1"/>
  <c r="D10" i="5"/>
  <c r="D8" i="3"/>
  <c r="C8" i="3" a="1"/>
  <c r="C8" i="3" s="1"/>
  <c r="A28" i="1"/>
  <c r="D6" i="5"/>
  <c r="C6" i="5" a="1"/>
  <c r="C6" i="5" s="1"/>
  <c r="D6" i="4"/>
  <c r="C6" i="4" a="1"/>
  <c r="C6" i="4" s="1"/>
  <c r="C4" i="3" a="1"/>
  <c r="C4" i="3" s="1"/>
  <c r="D4" i="3"/>
  <c r="C19" i="3" a="1"/>
  <c r="C19" i="3" s="1"/>
  <c r="D19" i="3"/>
  <c r="A32" i="1"/>
  <c r="A25" i="1"/>
  <c r="A7" i="1"/>
  <c r="J9" i="18" a="1"/>
  <c r="J9" i="18" s="1"/>
  <c r="I9" i="18" a="1"/>
  <c r="I9" i="18" s="1"/>
  <c r="J9" i="11" a="1"/>
  <c r="J9" i="11" s="1"/>
  <c r="I9" i="11" a="1"/>
  <c r="I9" i="11" s="1"/>
  <c r="I6" i="13" a="1"/>
  <c r="I6" i="13" s="1"/>
  <c r="J6" i="13" a="1"/>
  <c r="J6" i="13" s="1"/>
  <c r="I4" i="12" a="1"/>
  <c r="I4" i="12" s="1"/>
  <c r="L4" i="12" a="1"/>
  <c r="L4" i="12" s="1"/>
  <c r="J4" i="12" a="1"/>
  <c r="J4" i="12" s="1"/>
  <c r="I5" i="15" a="1"/>
  <c r="I5" i="15" s="1"/>
  <c r="J5" i="15" a="1"/>
  <c r="J5" i="15" s="1"/>
  <c r="J5" i="13" a="1"/>
  <c r="J5" i="13" s="1"/>
  <c r="I5" i="13" a="1"/>
  <c r="I5" i="13" s="1"/>
  <c r="J7" i="11" a="1"/>
  <c r="J7" i="11" s="1"/>
  <c r="I7" i="11" a="1"/>
  <c r="I7" i="11" s="1"/>
  <c r="J7" i="18" a="1"/>
  <c r="J7" i="18" s="1"/>
  <c r="I7" i="18" a="1"/>
  <c r="I7" i="18" s="1"/>
  <c r="J5" i="11" a="1"/>
  <c r="J5" i="11" s="1"/>
  <c r="I5" i="11" a="1"/>
  <c r="I5" i="11" s="1"/>
  <c r="J4" i="9" a="1"/>
  <c r="J4" i="9" s="1"/>
  <c r="I4" i="9" a="1"/>
  <c r="I4" i="9" s="1"/>
  <c r="L4" i="9" a="1"/>
  <c r="L4" i="9" s="1"/>
  <c r="I7" i="16" a="1"/>
  <c r="I7" i="16" s="1"/>
  <c r="J7" i="16" a="1"/>
  <c r="J7" i="16" s="1"/>
  <c r="J10" i="17" a="1"/>
  <c r="J10" i="17" s="1"/>
  <c r="I10" i="17" a="1"/>
  <c r="I10" i="17" s="1"/>
  <c r="J6" i="11" a="1"/>
  <c r="J6" i="11" s="1"/>
  <c r="I6" i="11" a="1"/>
  <c r="I6" i="11" s="1"/>
  <c r="J8" i="11" a="1"/>
  <c r="J8" i="11" s="1"/>
  <c r="I8" i="11" a="1"/>
  <c r="I8" i="11" s="1"/>
  <c r="I4" i="10" a="1"/>
  <c r="I4" i="10" s="1"/>
  <c r="J4" i="10" a="1"/>
  <c r="J4" i="10" s="1"/>
  <c r="L4" i="10" a="1"/>
  <c r="L4" i="10" s="1"/>
  <c r="J6" i="15" a="1"/>
  <c r="J6" i="15" s="1"/>
  <c r="I6" i="15" a="1"/>
  <c r="I6" i="15" s="1"/>
  <c r="J4" i="16" a="1"/>
  <c r="J4" i="16" s="1"/>
  <c r="I4" i="16" a="1"/>
  <c r="I4" i="16" s="1"/>
  <c r="L4" i="16" a="1"/>
  <c r="L4" i="16" s="1"/>
  <c r="J8" i="17" a="1"/>
  <c r="J8" i="17" s="1"/>
  <c r="I8" i="17" a="1"/>
  <c r="I8" i="17" s="1"/>
  <c r="I4" i="19" a="1"/>
  <c r="I4" i="19" s="1"/>
  <c r="H4" i="19" a="1"/>
  <c r="H4" i="19" s="1"/>
  <c r="K4" i="19" a="1"/>
  <c r="K4" i="19" s="1"/>
  <c r="I9" i="14" a="1"/>
  <c r="I9" i="14" s="1"/>
  <c r="J9" i="14" a="1"/>
  <c r="J9" i="14" s="1"/>
  <c r="I7" i="13" a="1"/>
  <c r="I7" i="13" s="1"/>
  <c r="J7" i="13" a="1"/>
  <c r="J7" i="13" s="1"/>
  <c r="I4" i="13" a="1"/>
  <c r="I4" i="13" s="1"/>
  <c r="J4" i="13" a="1"/>
  <c r="J4" i="13" s="1"/>
  <c r="L4" i="13" a="1"/>
  <c r="L4" i="13" s="1"/>
  <c r="I10" i="15" a="1"/>
  <c r="I10" i="15" s="1"/>
  <c r="J10" i="15" a="1"/>
  <c r="J10" i="15" s="1"/>
  <c r="I6" i="17" a="1"/>
  <c r="I6" i="17" s="1"/>
  <c r="J6" i="17" a="1"/>
  <c r="J6" i="17" s="1"/>
  <c r="D8" i="4"/>
  <c r="C8" i="4" a="1"/>
  <c r="C8" i="4" s="1"/>
  <c r="A8" i="4" s="1"/>
  <c r="C8" i="5" a="1"/>
  <c r="C8" i="5" s="1"/>
  <c r="A8" i="5" s="1"/>
  <c r="D8" i="5"/>
  <c r="D12" i="3"/>
  <c r="C12" i="3" a="1"/>
  <c r="C12" i="3" s="1"/>
  <c r="D7" i="3"/>
  <c r="C7" i="3" a="1"/>
  <c r="C7" i="3" s="1"/>
  <c r="A20" i="1"/>
  <c r="C7" i="5" a="1"/>
  <c r="C7" i="5" s="1"/>
  <c r="D7" i="5"/>
  <c r="C22" i="5" a="1"/>
  <c r="C22" i="5" s="1"/>
  <c r="D22" i="5"/>
  <c r="D10" i="3"/>
  <c r="C10" i="3" a="1"/>
  <c r="C10" i="3" s="1"/>
  <c r="A30" i="1"/>
  <c r="D25" i="3"/>
  <c r="C25" i="3" a="1"/>
  <c r="C25" i="3" s="1"/>
  <c r="D15" i="3"/>
  <c r="C15" i="3" a="1"/>
  <c r="C15" i="3" s="1"/>
  <c r="D33" i="3"/>
  <c r="C33" i="3" a="1"/>
  <c r="C33" i="3" s="1"/>
  <c r="A33" i="3" s="1"/>
  <c r="A21" i="1"/>
  <c r="A9" i="1"/>
  <c r="A13" i="1"/>
  <c r="A10" i="3" l="1"/>
  <c r="A12" i="3"/>
  <c r="A7" i="5"/>
  <c r="A30" i="3"/>
  <c r="A23" i="5"/>
  <c r="A21" i="2"/>
  <c r="A27" i="3"/>
  <c r="A19" i="3"/>
  <c r="A8" i="3"/>
  <c r="A11" i="3"/>
  <c r="A11" i="5"/>
  <c r="A17" i="5"/>
  <c r="I6" i="12" a="1"/>
  <c r="I6" i="12" s="1"/>
  <c r="J6" i="12" a="1"/>
  <c r="J6" i="12" s="1"/>
  <c r="A4" i="5"/>
  <c r="F1" i="5"/>
  <c r="A18" i="3"/>
  <c r="A24" i="5"/>
  <c r="A5" i="4"/>
  <c r="A14" i="3"/>
  <c r="A34" i="3"/>
  <c r="A20" i="3"/>
  <c r="A9" i="5"/>
  <c r="A22" i="3"/>
  <c r="A15" i="3"/>
  <c r="A22" i="5"/>
  <c r="A4" i="3"/>
  <c r="F1" i="3"/>
  <c r="A15" i="5"/>
  <c r="A13" i="3"/>
  <c r="A20" i="2"/>
  <c r="A14" i="2"/>
  <c r="A5" i="2"/>
  <c r="A16" i="2"/>
  <c r="A7" i="2"/>
  <c r="A10" i="2"/>
  <c r="A18" i="2"/>
  <c r="A4" i="2"/>
  <c r="A9" i="2"/>
  <c r="F1" i="2"/>
  <c r="A11" i="2"/>
  <c r="A6" i="2"/>
  <c r="A13" i="2"/>
  <c r="A17" i="2"/>
  <c r="A8" i="2"/>
  <c r="A15" i="2"/>
  <c r="A12" i="2"/>
  <c r="A19" i="2"/>
  <c r="F1" i="7"/>
  <c r="A4" i="7"/>
  <c r="B7" i="12" a="1"/>
  <c r="B7" i="12" s="1"/>
  <c r="C7" i="12" s="1"/>
  <c r="D7" i="12" a="1"/>
  <c r="D7" i="12" s="1"/>
  <c r="G7" i="12" a="1"/>
  <c r="G7" i="12" s="1"/>
  <c r="E7" i="12" a="1"/>
  <c r="E7" i="12" s="1"/>
  <c r="K7" i="12" a="1"/>
  <c r="K7" i="12" s="1"/>
  <c r="H7" i="12" a="1"/>
  <c r="H7" i="12" s="1"/>
  <c r="F7" i="12" a="1"/>
  <c r="F7" i="12" s="1"/>
  <c r="A8" i="12"/>
  <c r="A7" i="4"/>
  <c r="A6" i="4"/>
  <c r="A10" i="5"/>
  <c r="A23" i="3"/>
  <c r="A5" i="5"/>
  <c r="A29" i="3"/>
  <c r="A26" i="3"/>
  <c r="I10" i="11" a="1"/>
  <c r="I10" i="11" s="1"/>
  <c r="J10" i="11" a="1"/>
  <c r="J10" i="11" s="1"/>
  <c r="A5" i="3"/>
  <c r="A21" i="5"/>
  <c r="A32" i="3"/>
  <c r="A28" i="3"/>
  <c r="A19" i="5"/>
  <c r="A20" i="5"/>
  <c r="A24" i="3"/>
  <c r="A12" i="5"/>
  <c r="A6" i="3"/>
  <c r="A25" i="3"/>
  <c r="A6" i="5"/>
  <c r="A25" i="5"/>
  <c r="A14" i="5"/>
  <c r="A21" i="3"/>
  <c r="A16" i="3"/>
  <c r="A9" i="3"/>
  <c r="A17" i="3"/>
  <c r="A7" i="3"/>
  <c r="A16" i="5"/>
  <c r="A18" i="5"/>
  <c r="F1" i="6"/>
  <c r="A4" i="6"/>
  <c r="A13" i="5"/>
  <c r="F1" i="4"/>
  <c r="A4" i="4"/>
  <c r="K11" i="11" a="1"/>
  <c r="K11" i="11" s="1"/>
  <c r="G11" i="11" a="1"/>
  <c r="G11" i="11" s="1"/>
  <c r="A12" i="11"/>
  <c r="B11" i="11" a="1"/>
  <c r="B11" i="11" s="1"/>
  <c r="C11" i="11" s="1"/>
  <c r="H11" i="11" a="1"/>
  <c r="H11" i="11" s="1"/>
  <c r="F11" i="11" a="1"/>
  <c r="F11" i="11" s="1"/>
  <c r="E11" i="11" a="1"/>
  <c r="E11" i="11" s="1"/>
  <c r="D11" i="11" a="1"/>
  <c r="D11" i="11" s="1"/>
  <c r="A31" i="3"/>
  <c r="B8" i="12" l="1" a="1"/>
  <c r="B8" i="12" s="1"/>
  <c r="C8" i="12" s="1"/>
  <c r="E8" i="12" a="1"/>
  <c r="E8" i="12" s="1"/>
  <c r="D8" i="12" a="1"/>
  <c r="D8" i="12" s="1"/>
  <c r="H8" i="12" a="1"/>
  <c r="H8" i="12" s="1"/>
  <c r="K8" i="12" a="1"/>
  <c r="K8" i="12" s="1"/>
  <c r="A9" i="12"/>
  <c r="G8" i="12" a="1"/>
  <c r="G8" i="12" s="1"/>
  <c r="F8" i="12" a="1"/>
  <c r="F8" i="12" s="1"/>
  <c r="E12" i="11" a="1"/>
  <c r="E12" i="11" s="1"/>
  <c r="A13" i="11"/>
  <c r="F12" i="11" a="1"/>
  <c r="F12" i="11" s="1"/>
  <c r="K12" i="11" a="1"/>
  <c r="K12" i="11" s="1"/>
  <c r="D12" i="11" a="1"/>
  <c r="D12" i="11" s="1"/>
  <c r="B12" i="11" a="1"/>
  <c r="B12" i="11" s="1"/>
  <c r="C12" i="11" s="1"/>
  <c r="H12" i="11" a="1"/>
  <c r="H12" i="11" s="1"/>
  <c r="G12" i="11" a="1"/>
  <c r="G12" i="11" s="1"/>
  <c r="I11" i="11" a="1"/>
  <c r="I11" i="11" s="1"/>
  <c r="J11" i="11" a="1"/>
  <c r="J11" i="11" s="1"/>
  <c r="I7" i="12" a="1"/>
  <c r="I7" i="12" s="1"/>
  <c r="J7" i="12" a="1"/>
  <c r="J7" i="12" s="1"/>
  <c r="I12" i="11" l="1" a="1"/>
  <c r="I12" i="11" s="1"/>
  <c r="J12" i="11" a="1"/>
  <c r="J12" i="11" s="1"/>
  <c r="B9" i="12" a="1"/>
  <c r="B9" i="12" s="1"/>
  <c r="C9" i="12" s="1"/>
  <c r="K9" i="12" a="1"/>
  <c r="K9" i="12" s="1"/>
  <c r="E9" i="12" a="1"/>
  <c r="E9" i="12" s="1"/>
  <c r="H9" i="12" a="1"/>
  <c r="H9" i="12" s="1"/>
  <c r="A10" i="12"/>
  <c r="F9" i="12" a="1"/>
  <c r="F9" i="12" s="1"/>
  <c r="D9" i="12" a="1"/>
  <c r="D9" i="12" s="1"/>
  <c r="G9" i="12" a="1"/>
  <c r="G9" i="12" s="1"/>
  <c r="J8" i="12" a="1"/>
  <c r="J8" i="12" s="1"/>
  <c r="I8" i="12" a="1"/>
  <c r="I8" i="12" s="1"/>
  <c r="K13" i="11" a="1"/>
  <c r="K13" i="11" s="1"/>
  <c r="G13" i="11" a="1"/>
  <c r="G13" i="11" s="1"/>
  <c r="B13" i="11" a="1"/>
  <c r="B13" i="11" s="1"/>
  <c r="C13" i="11" s="1"/>
  <c r="A14" i="11"/>
  <c r="H13" i="11" a="1"/>
  <c r="H13" i="11" s="1"/>
  <c r="F13" i="11" a="1"/>
  <c r="F13" i="11" s="1"/>
  <c r="E13" i="11" a="1"/>
  <c r="E13" i="11" s="1"/>
  <c r="D13" i="11" a="1"/>
  <c r="D13" i="11" s="1"/>
  <c r="E14" i="11" l="1" a="1"/>
  <c r="E14" i="11" s="1"/>
  <c r="A15" i="11"/>
  <c r="H14" i="11" a="1"/>
  <c r="H14" i="11" s="1"/>
  <c r="G14" i="11" a="1"/>
  <c r="G14" i="11" s="1"/>
  <c r="F14" i="11" a="1"/>
  <c r="F14" i="11" s="1"/>
  <c r="D14" i="11" a="1"/>
  <c r="D14" i="11" s="1"/>
  <c r="K14" i="11" a="1"/>
  <c r="K14" i="11" s="1"/>
  <c r="B14" i="11" a="1"/>
  <c r="B14" i="11" s="1"/>
  <c r="C14" i="11" s="1"/>
  <c r="B10" i="12" a="1"/>
  <c r="B10" i="12" s="1"/>
  <c r="C10" i="12" s="1"/>
  <c r="A11" i="12"/>
  <c r="F10" i="12" a="1"/>
  <c r="F10" i="12" s="1"/>
  <c r="K10" i="12" a="1"/>
  <c r="K10" i="12" s="1"/>
  <c r="D10" i="12" a="1"/>
  <c r="D10" i="12" s="1"/>
  <c r="G10" i="12" a="1"/>
  <c r="G10" i="12" s="1"/>
  <c r="H10" i="12" a="1"/>
  <c r="H10" i="12" s="1"/>
  <c r="E10" i="12" a="1"/>
  <c r="E10" i="12" s="1"/>
  <c r="J13" i="11" a="1"/>
  <c r="J13" i="11" s="1"/>
  <c r="I13" i="11" a="1"/>
  <c r="I13" i="11" s="1"/>
  <c r="J9" i="12" a="1"/>
  <c r="J9" i="12" s="1"/>
  <c r="I9" i="12" a="1"/>
  <c r="I9" i="12" s="1"/>
  <c r="B11" i="12" l="1" a="1"/>
  <c r="B11" i="12" s="1"/>
  <c r="C11" i="12" s="1"/>
  <c r="G11" i="12" a="1"/>
  <c r="G11" i="12" s="1"/>
  <c r="A12" i="12"/>
  <c r="F11" i="12" a="1"/>
  <c r="F11" i="12" s="1"/>
  <c r="E11" i="12" a="1"/>
  <c r="E11" i="12" s="1"/>
  <c r="D11" i="12" a="1"/>
  <c r="D11" i="12" s="1"/>
  <c r="K11" i="12" a="1"/>
  <c r="K11" i="12" s="1"/>
  <c r="H11" i="12" a="1"/>
  <c r="H11" i="12" s="1"/>
  <c r="K15" i="11" a="1"/>
  <c r="K15" i="11" s="1"/>
  <c r="G15" i="11" a="1"/>
  <c r="G15" i="11" s="1"/>
  <c r="B15" i="11" a="1"/>
  <c r="B15" i="11" s="1"/>
  <c r="C15" i="11" s="1"/>
  <c r="A16" i="11"/>
  <c r="F15" i="11" a="1"/>
  <c r="F15" i="11" s="1"/>
  <c r="E15" i="11" a="1"/>
  <c r="E15" i="11" s="1"/>
  <c r="D15" i="11" a="1"/>
  <c r="D15" i="11" s="1"/>
  <c r="H15" i="11" a="1"/>
  <c r="H15" i="11" s="1"/>
  <c r="I14" i="11" a="1"/>
  <c r="I14" i="11" s="1"/>
  <c r="J14" i="11" a="1"/>
  <c r="J14" i="11" s="1"/>
  <c r="I10" i="12" a="1"/>
  <c r="I10" i="12" s="1"/>
  <c r="J10" i="12" a="1"/>
  <c r="J10" i="12" s="1"/>
  <c r="J11" i="12" l="1" a="1"/>
  <c r="J11" i="12" s="1"/>
  <c r="I11" i="12" a="1"/>
  <c r="I11" i="12" s="1"/>
  <c r="E16" i="11" a="1"/>
  <c r="E16" i="11" s="1"/>
  <c r="A17" i="11"/>
  <c r="D16" i="11" a="1"/>
  <c r="D16" i="11" s="1"/>
  <c r="K16" i="11" a="1"/>
  <c r="K16" i="11" s="1"/>
  <c r="B16" i="11" a="1"/>
  <c r="B16" i="11" s="1"/>
  <c r="C16" i="11" s="1"/>
  <c r="H16" i="11" a="1"/>
  <c r="H16" i="11" s="1"/>
  <c r="G16" i="11" a="1"/>
  <c r="G16" i="11" s="1"/>
  <c r="F16" i="11" a="1"/>
  <c r="F16" i="11" s="1"/>
  <c r="J15" i="11" a="1"/>
  <c r="J15" i="11" s="1"/>
  <c r="I15" i="11" a="1"/>
  <c r="I15" i="11" s="1"/>
  <c r="B12" i="12" a="1"/>
  <c r="B12" i="12" s="1"/>
  <c r="C12" i="12" s="1"/>
  <c r="G12" i="12" a="1"/>
  <c r="G12" i="12" s="1"/>
  <c r="K12" i="12" a="1"/>
  <c r="K12" i="12" s="1"/>
  <c r="E12" i="12" a="1"/>
  <c r="E12" i="12" s="1"/>
  <c r="H12" i="12" a="1"/>
  <c r="H12" i="12" s="1"/>
  <c r="A13" i="12"/>
  <c r="F12" i="12" a="1"/>
  <c r="F12" i="12" s="1"/>
  <c r="D12" i="12" a="1"/>
  <c r="D12" i="12" s="1"/>
  <c r="I16" i="11" l="1" a="1"/>
  <c r="I16" i="11" s="1"/>
  <c r="J16" i="11" a="1"/>
  <c r="J16" i="11" s="1"/>
  <c r="J12" i="12" a="1"/>
  <c r="J12" i="12" s="1"/>
  <c r="I12" i="12" a="1"/>
  <c r="I12" i="12" s="1"/>
  <c r="K17" i="11" a="1"/>
  <c r="K17" i="11" s="1"/>
  <c r="G17" i="11" a="1"/>
  <c r="G17" i="11" s="1"/>
  <c r="B17" i="11" a="1"/>
  <c r="B17" i="11" s="1"/>
  <c r="C17" i="11" s="1"/>
  <c r="A18" i="11"/>
  <c r="H17" i="11" a="1"/>
  <c r="H17" i="11" s="1"/>
  <c r="F17" i="11" a="1"/>
  <c r="F17" i="11" s="1"/>
  <c r="E17" i="11" a="1"/>
  <c r="E17" i="11" s="1"/>
  <c r="D17" i="11" a="1"/>
  <c r="D17" i="11" s="1"/>
  <c r="B13" i="12" a="1"/>
  <c r="B13" i="12" s="1"/>
  <c r="C13" i="12" s="1"/>
  <c r="H13" i="12" a="1"/>
  <c r="H13" i="12" s="1"/>
  <c r="A14" i="12"/>
  <c r="F13" i="12" a="1"/>
  <c r="F13" i="12" s="1"/>
  <c r="K13" i="12" a="1"/>
  <c r="K13" i="12" s="1"/>
  <c r="G13" i="12" a="1"/>
  <c r="G13" i="12" s="1"/>
  <c r="E13" i="12" a="1"/>
  <c r="E13" i="12" s="1"/>
  <c r="D13" i="12" a="1"/>
  <c r="D13" i="12" s="1"/>
  <c r="E18" i="11" l="1" a="1"/>
  <c r="E18" i="11" s="1"/>
  <c r="A19" i="11"/>
  <c r="K18" i="11" a="1"/>
  <c r="K18" i="11" s="1"/>
  <c r="H18" i="11" a="1"/>
  <c r="H18" i="11" s="1"/>
  <c r="G18" i="11" a="1"/>
  <c r="G18" i="11" s="1"/>
  <c r="F18" i="11" a="1"/>
  <c r="F18" i="11" s="1"/>
  <c r="D18" i="11" a="1"/>
  <c r="D18" i="11" s="1"/>
  <c r="B18" i="11" a="1"/>
  <c r="B18" i="11" s="1"/>
  <c r="C18" i="11" s="1"/>
  <c r="B14" i="12" a="1"/>
  <c r="B14" i="12" s="1"/>
  <c r="C14" i="12" s="1"/>
  <c r="H14" i="12" a="1"/>
  <c r="H14" i="12" s="1"/>
  <c r="G14" i="12" a="1"/>
  <c r="G14" i="12" s="1"/>
  <c r="A15" i="12"/>
  <c r="F14" i="12" a="1"/>
  <c r="F14" i="12" s="1"/>
  <c r="D14" i="12" a="1"/>
  <c r="D14" i="12" s="1"/>
  <c r="K14" i="12" a="1"/>
  <c r="K14" i="12" s="1"/>
  <c r="E14" i="12" a="1"/>
  <c r="E14" i="12" s="1"/>
  <c r="J17" i="11" a="1"/>
  <c r="J17" i="11" s="1"/>
  <c r="I17" i="11" a="1"/>
  <c r="I17" i="11" s="1"/>
  <c r="I13" i="12" a="1"/>
  <c r="I13" i="12" s="1"/>
  <c r="J13" i="12" a="1"/>
  <c r="J13" i="12" s="1"/>
  <c r="I18" i="11" l="1" a="1"/>
  <c r="I18" i="11" s="1"/>
  <c r="J18" i="11" a="1"/>
  <c r="J18" i="11" s="1"/>
  <c r="I14" i="12" a="1"/>
  <c r="I14" i="12" s="1"/>
  <c r="J14" i="12" a="1"/>
  <c r="J14" i="12" s="1"/>
  <c r="B15" i="12" a="1"/>
  <c r="B15" i="12" s="1"/>
  <c r="C15" i="12" s="1"/>
  <c r="F15" i="12" a="1"/>
  <c r="F15" i="12" s="1"/>
  <c r="K15" i="12" a="1"/>
  <c r="K15" i="12" s="1"/>
  <c r="D15" i="12" a="1"/>
  <c r="D15" i="12" s="1"/>
  <c r="H15" i="12" a="1"/>
  <c r="H15" i="12" s="1"/>
  <c r="A16" i="12"/>
  <c r="E15" i="12" a="1"/>
  <c r="E15" i="12" s="1"/>
  <c r="G15" i="12" a="1"/>
  <c r="G15" i="12" s="1"/>
  <c r="K19" i="11" a="1"/>
  <c r="K19" i="11" s="1"/>
  <c r="G19" i="11" a="1"/>
  <c r="G19" i="11" s="1"/>
  <c r="B19" i="11" a="1"/>
  <c r="B19" i="11" s="1"/>
  <c r="C19" i="11" s="1"/>
  <c r="E19" i="11" a="1"/>
  <c r="E19" i="11" s="1"/>
  <c r="A20" i="11"/>
  <c r="H19" i="11" a="1"/>
  <c r="H19" i="11" s="1"/>
  <c r="F19" i="11" a="1"/>
  <c r="F19" i="11" s="1"/>
  <c r="D19" i="11" a="1"/>
  <c r="D19" i="11" s="1"/>
  <c r="H16" i="12" l="1" a="1"/>
  <c r="H16" i="12" s="1"/>
  <c r="D16" i="12" a="1"/>
  <c r="D16" i="12" s="1"/>
  <c r="B16" i="12" a="1"/>
  <c r="B16" i="12" s="1"/>
  <c r="C16" i="12" s="1"/>
  <c r="G16" i="12" a="1"/>
  <c r="G16" i="12" s="1"/>
  <c r="F16" i="12" a="1"/>
  <c r="F16" i="12" s="1"/>
  <c r="K16" i="12" a="1"/>
  <c r="K16" i="12" s="1"/>
  <c r="E16" i="12" a="1"/>
  <c r="E16" i="12" s="1"/>
  <c r="J15" i="12" a="1"/>
  <c r="J15" i="12" s="1"/>
  <c r="I15" i="12" a="1"/>
  <c r="I15" i="12" s="1"/>
  <c r="I19" i="11" a="1"/>
  <c r="I19" i="11" s="1"/>
  <c r="J19" i="11" a="1"/>
  <c r="J19" i="11" s="1"/>
  <c r="E20" i="11" a="1"/>
  <c r="E20" i="11" s="1"/>
  <c r="A21" i="11"/>
  <c r="K20" i="11" a="1"/>
  <c r="K20" i="11" s="1"/>
  <c r="G20" i="11" a="1"/>
  <c r="G20" i="11" s="1"/>
  <c r="H20" i="11" a="1"/>
  <c r="H20" i="11" s="1"/>
  <c r="F20" i="11" a="1"/>
  <c r="F20" i="11" s="1"/>
  <c r="D20" i="11" a="1"/>
  <c r="D20" i="11" s="1"/>
  <c r="B20" i="11" a="1"/>
  <c r="B20" i="11" s="1"/>
  <c r="C20" i="11" s="1"/>
  <c r="K21" i="11" l="1" a="1"/>
  <c r="K21" i="11" s="1"/>
  <c r="G21" i="11" a="1"/>
  <c r="G21" i="11" s="1"/>
  <c r="B21" i="11" a="1"/>
  <c r="B21" i="11" s="1"/>
  <c r="C21" i="11" s="1"/>
  <c r="E21" i="11" a="1"/>
  <c r="E21" i="11" s="1"/>
  <c r="A22" i="11"/>
  <c r="H21" i="11" a="1"/>
  <c r="H21" i="11" s="1"/>
  <c r="F21" i="11" a="1"/>
  <c r="F21" i="11" s="1"/>
  <c r="D21" i="11" a="1"/>
  <c r="D21" i="11" s="1"/>
  <c r="I20" i="11" a="1"/>
  <c r="I20" i="11" s="1"/>
  <c r="J20" i="11" a="1"/>
  <c r="J20" i="11" s="1"/>
  <c r="J16" i="12" a="1"/>
  <c r="J16" i="12" s="1"/>
  <c r="I16" i="12" a="1"/>
  <c r="I16" i="12" s="1"/>
  <c r="I21" i="11" l="1" a="1"/>
  <c r="I21" i="11" s="1"/>
  <c r="J21" i="11" a="1"/>
  <c r="J21" i="11" s="1"/>
  <c r="E22" i="11" a="1"/>
  <c r="E22" i="11" s="1"/>
  <c r="A23" i="11"/>
  <c r="K22" i="11" a="1"/>
  <c r="K22" i="11" s="1"/>
  <c r="G22" i="11" a="1"/>
  <c r="G22" i="11" s="1"/>
  <c r="H22" i="11" a="1"/>
  <c r="H22" i="11" s="1"/>
  <c r="F22" i="11" a="1"/>
  <c r="F22" i="11" s="1"/>
  <c r="D22" i="11" a="1"/>
  <c r="D22" i="11" s="1"/>
  <c r="B22" i="11" a="1"/>
  <c r="B22" i="11" s="1"/>
  <c r="C22" i="11" s="1"/>
  <c r="I22" i="11" l="1" a="1"/>
  <c r="I22" i="11" s="1"/>
  <c r="J22" i="11" a="1"/>
  <c r="J22" i="11" s="1"/>
  <c r="K23" i="11" a="1"/>
  <c r="K23" i="11" s="1"/>
  <c r="G23" i="11" a="1"/>
  <c r="G23" i="11" s="1"/>
  <c r="B23" i="11" a="1"/>
  <c r="B23" i="11" s="1"/>
  <c r="C23" i="11" s="1"/>
  <c r="E23" i="11" a="1"/>
  <c r="E23" i="11" s="1"/>
  <c r="H23" i="11" a="1"/>
  <c r="H23" i="11" s="1"/>
  <c r="F23" i="11" a="1"/>
  <c r="F23" i="11" s="1"/>
  <c r="D23" i="11" a="1"/>
  <c r="D23" i="11" s="1"/>
  <c r="I23" i="11" l="1" a="1"/>
  <c r="I23" i="11" s="1"/>
  <c r="J23" i="11" a="1"/>
  <c r="J23" i="11" s="1"/>
</calcChain>
</file>

<file path=xl/sharedStrings.xml><?xml version="1.0" encoding="utf-8"?>
<sst xmlns="http://schemas.openxmlformats.org/spreadsheetml/2006/main" count="511" uniqueCount="176">
  <si>
    <t>2025 Sunday League - Scratch:</t>
  </si>
  <si>
    <t>Events to Count</t>
  </si>
  <si>
    <t>Pos</t>
  </si>
  <si>
    <t>Rider</t>
  </si>
  <si>
    <t>Total</t>
  </si>
  <si>
    <t>Events</t>
  </si>
  <si>
    <t>Philip Brant</t>
  </si>
  <si>
    <t>David Carey</t>
  </si>
  <si>
    <t>Paul Gribbon</t>
  </si>
  <si>
    <t>Andy Merchant</t>
  </si>
  <si>
    <t>Marc Brant</t>
  </si>
  <si>
    <t>Henry O'Kill</t>
  </si>
  <si>
    <t>Paul White</t>
  </si>
  <si>
    <t>Stuart Jago</t>
  </si>
  <si>
    <t>David Pennington</t>
  </si>
  <si>
    <t>Jennie Pennington</t>
  </si>
  <si>
    <t>John-Paul Paduarno</t>
  </si>
  <si>
    <t>Isaac Phillips</t>
  </si>
  <si>
    <t>Ben Pennington</t>
  </si>
  <si>
    <t>Simon Gretton</t>
  </si>
  <si>
    <t>Carol Cartwright</t>
  </si>
  <si>
    <t>Kevin Smith</t>
  </si>
  <si>
    <t>Barry Simpson</t>
  </si>
  <si>
    <t>Wilbor Morgan-Hobbs</t>
  </si>
  <si>
    <t>David Jacobs</t>
  </si>
  <si>
    <t>Henry Jago</t>
  </si>
  <si>
    <t>Adam Jones</t>
  </si>
  <si>
    <t>Elaine Cotton</t>
  </si>
  <si>
    <t>Dave Lobley</t>
  </si>
  <si>
    <t>Danny Jago</t>
  </si>
  <si>
    <t>Simon Smith</t>
  </si>
  <si>
    <t>Chris Smith</t>
  </si>
  <si>
    <t>Zena Shean</t>
  </si>
  <si>
    <t>2025 Sunday League - Non aero:</t>
  </si>
  <si>
    <t>2025 Sunday League - Handicap:</t>
  </si>
  <si>
    <t>2025 Sunday League - Women:</t>
  </si>
  <si>
    <t>2025 Sunday League - Veteran:</t>
  </si>
  <si>
    <t>2025 Sunday League - Junior:</t>
  </si>
  <si>
    <t>2025 Sunday League - Youth:</t>
  </si>
  <si>
    <t>Add to League?</t>
  </si>
  <si>
    <t>League</t>
  </si>
  <si>
    <t>Nonaero</t>
  </si>
  <si>
    <t>H'cap</t>
  </si>
  <si>
    <t>Wom</t>
  </si>
  <si>
    <t>Vet</t>
  </si>
  <si>
    <t>Jun</t>
  </si>
  <si>
    <t>You</t>
  </si>
  <si>
    <t>Colchester 10 - E7</t>
  </si>
  <si>
    <t>Name</t>
  </si>
  <si>
    <t>Club</t>
  </si>
  <si>
    <t>Category</t>
  </si>
  <si>
    <t>Time</t>
  </si>
  <si>
    <t>Road Bike Rank</t>
  </si>
  <si>
    <t>Handicap time</t>
  </si>
  <si>
    <t>Handicap Rank</t>
  </si>
  <si>
    <t>Vet adjusted Time</t>
  </si>
  <si>
    <t>Vet Rank</t>
  </si>
  <si>
    <t>Notes</t>
  </si>
  <si>
    <t>Selected Others</t>
  </si>
  <si>
    <t>Ian Short</t>
  </si>
  <si>
    <t>CC Sudbury</t>
  </si>
  <si>
    <t>Fastest Rider</t>
  </si>
  <si>
    <t>Mark Lloyd</t>
  </si>
  <si>
    <t>Colchester CC</t>
  </si>
  <si>
    <t>Fastest Road Bike</t>
  </si>
  <si>
    <t>Ann Shuttleworth</t>
  </si>
  <si>
    <t>Cambridge CC</t>
  </si>
  <si>
    <t>Fastest Woman</t>
  </si>
  <si>
    <t>Maria Johnson</t>
  </si>
  <si>
    <t>Fastest Woman Road Bike</t>
  </si>
  <si>
    <t>ECCA 25 - E6</t>
  </si>
  <si>
    <t>Luke Clark</t>
  </si>
  <si>
    <t>Team Milton Keynes</t>
  </si>
  <si>
    <t>Louise Robinson</t>
  </si>
  <si>
    <t>Shaftesbury</t>
  </si>
  <si>
    <t>Callum Knights</t>
  </si>
  <si>
    <t>Lea Valley CC</t>
  </si>
  <si>
    <t>Dan Jenkins</t>
  </si>
  <si>
    <t>HPC</t>
  </si>
  <si>
    <t>Paulina Matthews</t>
  </si>
  <si>
    <t>Chelmer</t>
  </si>
  <si>
    <t>Easter Egg 10 - E36, Canewdon</t>
  </si>
  <si>
    <t>Sam Thienal</t>
  </si>
  <si>
    <t>C&amp;T</t>
  </si>
  <si>
    <t>James Lonergan</t>
  </si>
  <si>
    <t>Matt Steel</t>
  </si>
  <si>
    <t>Pronto</t>
  </si>
  <si>
    <t>Nick Knight</t>
  </si>
  <si>
    <t>Tom Womack</t>
  </si>
  <si>
    <t>Primo</t>
  </si>
  <si>
    <t>Matt Saunders</t>
  </si>
  <si>
    <t>Team Vision</t>
  </si>
  <si>
    <t>Niall Canavan</t>
  </si>
  <si>
    <t>EETC</t>
  </si>
  <si>
    <t>Ben Brooks</t>
  </si>
  <si>
    <t>Jack Martin</t>
  </si>
  <si>
    <t xml:space="preserve">Ian Goerge </t>
  </si>
  <si>
    <t>Ian Tavell</t>
  </si>
  <si>
    <t>Bill Smith</t>
  </si>
  <si>
    <t>Chris Morgan</t>
  </si>
  <si>
    <t>Keith Bell</t>
  </si>
  <si>
    <t>Peter Harley</t>
  </si>
  <si>
    <t>Dave Cox</t>
  </si>
  <si>
    <t>Jo Phelps</t>
  </si>
  <si>
    <t>Jenny Harley</t>
  </si>
  <si>
    <t>Max Wheeler</t>
  </si>
  <si>
    <t>Matt Wilding</t>
  </si>
  <si>
    <t>Charlotte Brooks</t>
  </si>
  <si>
    <t>Arun Panchalch</t>
  </si>
  <si>
    <t>Junior</t>
  </si>
  <si>
    <t>Eugenia Hewitt</t>
  </si>
  <si>
    <t>Simon Philips</t>
  </si>
  <si>
    <t>Kat Stops</t>
  </si>
  <si>
    <t>Southend Wheelers Championship 10 - E36</t>
  </si>
  <si>
    <t>SW</t>
  </si>
  <si>
    <t>DNF</t>
  </si>
  <si>
    <t>Jack Morgan</t>
  </si>
  <si>
    <t>ECCA 10 - E91</t>
  </si>
  <si>
    <t>Timothy Torrie</t>
  </si>
  <si>
    <t>Defined Cycling Team</t>
  </si>
  <si>
    <t>Paul Hart</t>
  </si>
  <si>
    <t>Karen Aylen</t>
  </si>
  <si>
    <t>Southend Wheelers Championship 50 - E91</t>
  </si>
  <si>
    <t>Ramsey Kachacha</t>
  </si>
  <si>
    <t>Peter Harding</t>
  </si>
  <si>
    <t>Fastest Veteran</t>
  </si>
  <si>
    <t>Francesca Ryde</t>
  </si>
  <si>
    <t>Leighton Buzzard Tri</t>
  </si>
  <si>
    <t>Maldon 25 - E21</t>
  </si>
  <si>
    <t>Matthew Saunders</t>
  </si>
  <si>
    <t>Shaftesbury 50 - E91</t>
  </si>
  <si>
    <t>David Halladay</t>
  </si>
  <si>
    <t>Team Bottrill</t>
  </si>
  <si>
    <t>Ryan Batt</t>
  </si>
  <si>
    <t>Hainault RC</t>
  </si>
  <si>
    <t>Chantell Coetzer</t>
  </si>
  <si>
    <t>Chelmer / Interclub 25 &amp; Southend Wheelers 25 Mile Championship - E9</t>
  </si>
  <si>
    <t>Inter-Club Individual</t>
  </si>
  <si>
    <t>Inter-club Team</t>
  </si>
  <si>
    <t>Peter Harding
David Harding
Ian Cardy
Team:</t>
  </si>
  <si>
    <t>0:55:15
0:55:16
0:59:32
2:50:03</t>
  </si>
  <si>
    <t>Southend</t>
  </si>
  <si>
    <t>David Carey
Philip Brant
Marc Brant
Team:</t>
  </si>
  <si>
    <t>0:59:44
1:00:04
1:01:11
3:00:59</t>
  </si>
  <si>
    <t>Timothy Torriw</t>
  </si>
  <si>
    <t>Defined Cycling</t>
  </si>
  <si>
    <t>James Jenkins</t>
  </si>
  <si>
    <t>Karen Ayling</t>
  </si>
  <si>
    <t>Maldon / GHS 10 - E21</t>
  </si>
  <si>
    <t>ECCA 25 -E 33</t>
  </si>
  <si>
    <t>Handicap</t>
  </si>
  <si>
    <t>Adjusted Time</t>
  </si>
  <si>
    <t>Adjusted Rank</t>
  </si>
  <si>
    <t>Southend Wheelers Xmas Pudding 7 Mile TT, E36 Canewdon</t>
  </si>
  <si>
    <t>Actual Time</t>
  </si>
  <si>
    <t>Festive Adjustment</t>
  </si>
  <si>
    <t>Xmas TT Champion &amp; Unusual Bike Award</t>
  </si>
  <si>
    <t>First TT</t>
  </si>
  <si>
    <t>Best Fancy Dress Award</t>
  </si>
  <si>
    <t>Best Balls Award</t>
  </si>
  <si>
    <t>Simon Alexander</t>
  </si>
  <si>
    <t>Richardsons-Trek</t>
  </si>
  <si>
    <t>Sian Marsh</t>
  </si>
  <si>
    <t>Team Boompods</t>
  </si>
  <si>
    <t>Fastest EETC</t>
  </si>
  <si>
    <t>Ian George</t>
  </si>
  <si>
    <t>Ray Brooks</t>
  </si>
  <si>
    <t>Brian Brown</t>
  </si>
  <si>
    <t>Simon Phillips</t>
  </si>
  <si>
    <t>Lanterne Rouge</t>
  </si>
  <si>
    <t>ECCA 100, E2</t>
  </si>
  <si>
    <t>Senior</t>
  </si>
  <si>
    <t>WV</t>
  </si>
  <si>
    <t>Club Record</t>
  </si>
  <si>
    <t>Naomi de Pennington</t>
  </si>
  <si>
    <t>Drag to 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</si>
</sst>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\ mmm"/>
    <numFmt numFmtId="165" formatCode="d\ mmm"/>
    <numFmt numFmtId="166" formatCode="dd&quot; &quot;mmm&quot; &quot;yy"/>
    <numFmt numFmtId="167" formatCode="dd&quot;/&quot;mm&quot;/&quot;yyyy"/>
    <numFmt numFmtId="168" formatCode="0.000000"/>
    <numFmt numFmtId="169" formatCode="ddd&quot;, &quot;dd&quot; &quot;mmm&quot; &quot;yyyy"/>
    <numFmt numFmtId="170" formatCode="dd/mm"/>
  </numFmts>
  <fonts count="10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1"/>
      <color theme="0"/>
      <name val="Inconsolata"/>
    </font>
    <font>
      <b/>
      <sz val="10"/>
      <color theme="1"/>
      <name val="Arial"/>
    </font>
    <font>
      <sz val="10"/>
      <color theme="1"/>
      <name val="Arial"/>
    </font>
    <font>
      <sz val="10"/>
      <color rgb="FF000000"/>
      <name val="Arial"/>
    </font>
    <font>
      <b/>
      <sz val="14"/>
      <color theme="1"/>
      <name val="Arial"/>
      <scheme val="minor"/>
    </font>
    <font>
      <sz val="10"/>
      <color rgb="FFFFFFFF"/>
      <name val="Arial"/>
      <scheme val="minor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D9D9D9"/>
        <bgColor rgb="FFD9D9D9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164" fontId="2" fillId="0" borderId="0" xfId="0" applyNumberFormat="1" applyFont="1"/>
    <xf numFmtId="0" fontId="3" fillId="2" borderId="0" xfId="0" applyFont="1" applyFill="1"/>
    <xf numFmtId="165" fontId="2" fillId="0" borderId="0" xfId="0" applyNumberFormat="1" applyFont="1"/>
    <xf numFmtId="0" fontId="1" fillId="3" borderId="1" xfId="0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/>
    </xf>
    <xf numFmtId="166" fontId="4" fillId="3" borderId="2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0" borderId="0" xfId="0" applyFont="1"/>
    <xf numFmtId="0" fontId="2" fillId="5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center"/>
    </xf>
    <xf numFmtId="0" fontId="5" fillId="0" borderId="0" xfId="0" applyFont="1"/>
    <xf numFmtId="167" fontId="2" fillId="0" borderId="0" xfId="0" applyNumberFormat="1" applyFont="1"/>
    <xf numFmtId="21" fontId="2" fillId="0" borderId="0" xfId="0" applyNumberFormat="1" applyFont="1"/>
    <xf numFmtId="168" fontId="2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right"/>
    </xf>
    <xf numFmtId="21" fontId="6" fillId="0" borderId="0" xfId="0" applyNumberFormat="1" applyFont="1" applyAlignment="1">
      <alignment horizontal="right"/>
    </xf>
    <xf numFmtId="168" fontId="6" fillId="0" borderId="0" xfId="0" applyNumberFormat="1" applyFont="1"/>
    <xf numFmtId="0" fontId="2" fillId="0" borderId="0" xfId="0" applyFont="1" applyAlignment="1">
      <alignment horizontal="center"/>
    </xf>
    <xf numFmtId="0" fontId="8" fillId="0" borderId="0" xfId="0" applyFont="1"/>
    <xf numFmtId="0" fontId="1" fillId="3" borderId="1" xfId="0" applyFont="1" applyFill="1" applyBorder="1" applyAlignment="1">
      <alignment horizontal="center" vertical="top" wrapText="1"/>
    </xf>
    <xf numFmtId="21" fontId="1" fillId="3" borderId="1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21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3" borderId="1" xfId="0" applyFont="1" applyFill="1" applyBorder="1"/>
    <xf numFmtId="0" fontId="2" fillId="2" borderId="1" xfId="0" applyFont="1" applyFill="1" applyBorder="1"/>
    <xf numFmtId="0" fontId="1" fillId="2" borderId="1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70" fontId="2" fillId="0" borderId="0" xfId="0" applyNumberFormat="1" applyFont="1"/>
    <xf numFmtId="169" fontId="7" fillId="3" borderId="0" xfId="0" applyNumberFormat="1" applyFont="1" applyFill="1" applyAlignment="1">
      <alignment horizontal="center"/>
    </xf>
    <xf numFmtId="0" fontId="0" fillId="0" borderId="0" xfId="0"/>
    <xf numFmtId="0" fontId="7" fillId="3" borderId="0" xfId="0" applyFont="1" applyFill="1" applyAlignment="1">
      <alignment horizontal="center"/>
    </xf>
    <xf numFmtId="0" fontId="2" fillId="0" borderId="5" xfId="0" applyFont="1" applyBorder="1" applyAlignment="1">
      <alignment horizontal="center"/>
    </xf>
    <xf numFmtId="0" fontId="9" fillId="0" borderId="2" xfId="0" applyFont="1" applyBorder="1"/>
    <xf numFmtId="0" fontId="2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21"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9900"/>
          <bgColor rgb="FFFF9900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theme="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theme="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theme="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theme="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theme="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P34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12.5703125" defaultRowHeight="15.75" customHeight="1" x14ac:dyDescent="0.2"/>
  <cols>
    <col min="1" max="1" width="29.7109375" bestFit="1" customWidth="1"/>
    <col min="2" max="2" width="19.140625" bestFit="1" customWidth="1"/>
    <col min="3" max="3" width="5.5703125" bestFit="1" customWidth="1"/>
    <col min="4" max="4" width="15.140625" bestFit="1" customWidth="1"/>
    <col min="5" max="7" width="9.28515625" bestFit="1" customWidth="1"/>
    <col min="8" max="8" width="9.85546875" bestFit="1" customWidth="1"/>
    <col min="9" max="11" width="9.42578125" bestFit="1" customWidth="1"/>
    <col min="12" max="13" width="8.85546875" bestFit="1" customWidth="1"/>
    <col min="14" max="15" width="9.7109375" bestFit="1" customWidth="1"/>
    <col min="16" max="16" width="11.42578125" customWidth="1"/>
  </cols>
  <sheetData>
    <row r="1" spans="1:16" ht="15.75" customHeight="1" x14ac:dyDescent="0.4">
      <c r="A1" s="1" t="s">
        <v>0</v>
      </c>
      <c r="B1" s="1"/>
      <c r="C1" s="1">
        <v>6</v>
      </c>
      <c r="D1" s="1" t="s">
        <v>1</v>
      </c>
      <c r="E1" s="2"/>
      <c r="F1" s="3">
        <f ca="1">COUNTIF(C4:C109,"&gt;"&amp;0)+3</f>
        <v>30</v>
      </c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45765</v>
      </c>
      <c r="G2" s="6">
        <v>45768</v>
      </c>
      <c r="H2" s="6">
        <v>45802</v>
      </c>
      <c r="I2" s="6">
        <v>45809</v>
      </c>
      <c r="J2" s="6">
        <v>45816</v>
      </c>
      <c r="K2" s="6">
        <v>45837</v>
      </c>
      <c r="L2" s="6">
        <v>45858</v>
      </c>
      <c r="M2" s="6">
        <v>45865</v>
      </c>
      <c r="N2" s="7">
        <v>45885</v>
      </c>
      <c r="O2" s="8">
        <v>45928</v>
      </c>
      <c r="P2" s="6"/>
    </row>
    <row r="3" spans="1:16" x14ac:dyDescent="0.2">
      <c r="A3" s="9"/>
      <c r="B3" s="9"/>
      <c r="C3" s="9"/>
      <c r="D3" s="9"/>
      <c r="E3" s="9">
        <v>10</v>
      </c>
      <c r="F3" s="9">
        <v>25</v>
      </c>
      <c r="G3" s="9">
        <v>10</v>
      </c>
      <c r="H3" s="9">
        <v>25</v>
      </c>
      <c r="I3" s="9">
        <v>10</v>
      </c>
      <c r="J3" s="9">
        <v>10</v>
      </c>
      <c r="K3" s="9">
        <v>50</v>
      </c>
      <c r="L3" s="9">
        <v>50</v>
      </c>
      <c r="M3" s="9">
        <v>25</v>
      </c>
      <c r="N3" s="10">
        <v>10</v>
      </c>
      <c r="O3" s="11">
        <v>25</v>
      </c>
      <c r="P3" s="9"/>
    </row>
    <row r="4" spans="1:16" x14ac:dyDescent="0.2">
      <c r="A4" s="12">
        <f t="shared" ref="A4:A34" ca="1" si="0">RANK(C4,$C$4:$C$39)</f>
        <v>1</v>
      </c>
      <c r="B4" s="13" t="s">
        <v>6</v>
      </c>
      <c r="C4" s="14">
        <f t="array" aca="1" ref="C4" ca="1">SUM(LARGE(E4:P4,{1,2,3,4,5,6}))</f>
        <v>354</v>
      </c>
      <c r="D4" s="14">
        <f t="shared" ref="D4:D34" ca="1" si="1">COUNTIF(E4:P4,"&gt;"&amp;0)</f>
        <v>7</v>
      </c>
      <c r="E4" s="14">
        <f ca="1">SUMPRODUCT((Input!$L$3:$L$1000=E$2)*(Input!$O$3:$O$1000=$B4)*(Input!$S$3:$S$1000))</f>
        <v>60</v>
      </c>
      <c r="F4" s="14">
        <f ca="1">SUMPRODUCT((Input!$L$3:$L$1000=F$2)*(Input!$O$3:$O$1000=$B4)*(Input!$S$3:$S$1000))</f>
        <v>0</v>
      </c>
      <c r="G4" s="14">
        <f ca="1">SUMPRODUCT((Input!$L$3:$L$1000=G$2)*(Input!$O$3:$O$1000=$B4)*(Input!$S$3:$S$1000))</f>
        <v>58</v>
      </c>
      <c r="H4" s="14">
        <f ca="1">SUMPRODUCT((Input!$L$3:$L$1000=H$2)*(Input!$O$3:$O$1000=$B4)*(Input!$S$3:$S$1000))</f>
        <v>58</v>
      </c>
      <c r="I4" s="14">
        <f ca="1">SUMPRODUCT((Input!$L$3:$L$1000=I$2)*(Input!$O$3:$O$1000=$B4)*(Input!$S$3:$S$1000))</f>
        <v>59</v>
      </c>
      <c r="J4" s="14">
        <f ca="1">SUMPRODUCT((Input!$L$3:$L$1000=J$2)*(Input!$O$3:$O$1000=$B4)*(Input!$S$3:$S$1000))</f>
        <v>0</v>
      </c>
      <c r="K4" s="14">
        <f ca="1">SUMPRODUCT((Input!$L$3:$L$1000=K$2)*(Input!$O$3:$O$1000=$B4)*(Input!$S$3:$S$1000))</f>
        <v>59</v>
      </c>
      <c r="L4" s="14">
        <f ca="1">SUMPRODUCT((Input!$L$3:$L$1000=L$2)*(Input!$O$3:$O$1000=$B4)*(Input!$S$3:$S$1000))</f>
        <v>59</v>
      </c>
      <c r="M4" s="14">
        <f ca="1">SUMPRODUCT((Input!$L$3:$L$1000=M$2)*(Input!$O$3:$O$1000=$B4)*(Input!$S$3:$S$1000))</f>
        <v>59</v>
      </c>
      <c r="N4" s="14">
        <f ca="1">SUMPRODUCT((Input!$L$3:$L$1000=N$2)*(Input!$O$3:$O$1000=$B4)*(Input!$S$3:$S$1000))</f>
        <v>0</v>
      </c>
      <c r="O4" s="14">
        <f ca="1">SUMPRODUCT((Input!$L$3:$L$1000=O$2)*(Input!$O$3:$O$1000=$B4)*(Input!$S$3:$S$1000))</f>
        <v>0</v>
      </c>
      <c r="P4" s="14"/>
    </row>
    <row r="5" spans="1:16" x14ac:dyDescent="0.2">
      <c r="A5" s="12">
        <f t="shared" ca="1" si="0"/>
        <v>2</v>
      </c>
      <c r="B5" s="13" t="s">
        <v>7</v>
      </c>
      <c r="C5" s="14">
        <f t="array" aca="1" ref="C5" ca="1">SUM(LARGE(E5:P5,{1,2,3,4,5,6}))</f>
        <v>350</v>
      </c>
      <c r="D5" s="14">
        <f t="shared" ca="1" si="1"/>
        <v>6</v>
      </c>
      <c r="E5" s="14">
        <f ca="1">SUMPRODUCT((Input!$L$3:$L$1000=E$2)*(Input!$O$3:$O$1000=$B5)*(Input!$S$3:$S$1000))</f>
        <v>0</v>
      </c>
      <c r="F5" s="14">
        <f ca="1">SUMPRODUCT((Input!$L$3:$L$1000=F$2)*(Input!$O$3:$O$1000=$B5)*(Input!$S$3:$S$1000))</f>
        <v>0</v>
      </c>
      <c r="G5" s="14">
        <f ca="1">SUMPRODUCT((Input!$L$3:$L$1000=G$2)*(Input!$O$3:$O$1000=$B5)*(Input!$S$3:$S$1000))</f>
        <v>59</v>
      </c>
      <c r="H5" s="14">
        <f ca="1">SUMPRODUCT((Input!$L$3:$L$1000=H$2)*(Input!$O$3:$O$1000=$B5)*(Input!$S$3:$S$1000))</f>
        <v>56</v>
      </c>
      <c r="I5" s="14">
        <f ca="1">SUMPRODUCT((Input!$L$3:$L$1000=I$2)*(Input!$O$3:$O$1000=$B5)*(Input!$S$3:$S$1000))</f>
        <v>58</v>
      </c>
      <c r="J5" s="14">
        <f ca="1">SUMPRODUCT((Input!$L$3:$L$1000=J$2)*(Input!$O$3:$O$1000=$B5)*(Input!$S$3:$S$1000))</f>
        <v>59</v>
      </c>
      <c r="K5" s="14">
        <f ca="1">SUMPRODUCT((Input!$L$3:$L$1000=K$2)*(Input!$O$3:$O$1000=$B5)*(Input!$S$3:$S$1000))</f>
        <v>58</v>
      </c>
      <c r="L5" s="14">
        <f ca="1">SUMPRODUCT((Input!$L$3:$L$1000=L$2)*(Input!$O$3:$O$1000=$B5)*(Input!$S$3:$S$1000))</f>
        <v>0</v>
      </c>
      <c r="M5" s="14">
        <f ca="1">SUMPRODUCT((Input!$L$3:$L$1000=M$2)*(Input!$O$3:$O$1000=$B5)*(Input!$S$3:$S$1000))</f>
        <v>60</v>
      </c>
      <c r="N5" s="14">
        <f ca="1">SUMPRODUCT((Input!$L$3:$L$1000=N$2)*(Input!$O$3:$O$1000=$B5)*(Input!$S$3:$S$1000))</f>
        <v>0</v>
      </c>
      <c r="O5" s="14">
        <f ca="1">SUMPRODUCT((Input!$L$3:$L$1000=O$2)*(Input!$O$3:$O$1000=$B5)*(Input!$S$3:$S$1000))</f>
        <v>0</v>
      </c>
      <c r="P5" s="14"/>
    </row>
    <row r="6" spans="1:16" x14ac:dyDescent="0.2">
      <c r="A6" s="12">
        <f t="shared" ca="1" si="0"/>
        <v>3</v>
      </c>
      <c r="B6" s="13" t="s">
        <v>8</v>
      </c>
      <c r="C6" s="14">
        <f t="array" aca="1" ref="C6" ca="1">SUM(LARGE(E6:P6,{1,2,3,4,5,6}))</f>
        <v>340</v>
      </c>
      <c r="D6" s="14">
        <f t="shared" ca="1" si="1"/>
        <v>7</v>
      </c>
      <c r="E6" s="14">
        <f ca="1">SUMPRODUCT((Input!$L$3:$L$1000=E$2)*(Input!$O$3:$O$1000=$B6)*(Input!$S$3:$S$1000))</f>
        <v>0</v>
      </c>
      <c r="F6" s="14">
        <f ca="1">SUMPRODUCT((Input!$L$3:$L$1000=F$2)*(Input!$O$3:$O$1000=$B6)*(Input!$S$3:$S$1000))</f>
        <v>57</v>
      </c>
      <c r="G6" s="14">
        <f ca="1">SUMPRODUCT((Input!$L$3:$L$1000=G$2)*(Input!$O$3:$O$1000=$B6)*(Input!$S$3:$S$1000))</f>
        <v>52</v>
      </c>
      <c r="H6" s="14">
        <f ca="1">SUMPRODUCT((Input!$L$3:$L$1000=H$2)*(Input!$O$3:$O$1000=$B6)*(Input!$S$3:$S$1000))</f>
        <v>54</v>
      </c>
      <c r="I6" s="14">
        <f ca="1">SUMPRODUCT((Input!$L$3:$L$1000=I$2)*(Input!$O$3:$O$1000=$B6)*(Input!$S$3:$S$1000))</f>
        <v>57</v>
      </c>
      <c r="J6" s="14">
        <f ca="1">SUMPRODUCT((Input!$L$3:$L$1000=J$2)*(Input!$O$3:$O$1000=$B6)*(Input!$S$3:$S$1000))</f>
        <v>57</v>
      </c>
      <c r="K6" s="14">
        <f ca="1">SUMPRODUCT((Input!$L$3:$L$1000=K$2)*(Input!$O$3:$O$1000=$B6)*(Input!$S$3:$S$1000))</f>
        <v>57</v>
      </c>
      <c r="L6" s="14">
        <f ca="1">SUMPRODUCT((Input!$L$3:$L$1000=L$2)*(Input!$O$3:$O$1000=$B6)*(Input!$S$3:$S$1000))</f>
        <v>58</v>
      </c>
      <c r="M6" s="14">
        <f ca="1">SUMPRODUCT((Input!$L$3:$L$1000=M$2)*(Input!$O$3:$O$1000=$B6)*(Input!$S$3:$S$1000))</f>
        <v>0</v>
      </c>
      <c r="N6" s="14">
        <f ca="1">SUMPRODUCT((Input!$L$3:$L$1000=N$2)*(Input!$O$3:$O$1000=$B6)*(Input!$S$3:$S$1000))</f>
        <v>0</v>
      </c>
      <c r="O6" s="14">
        <f ca="1">SUMPRODUCT((Input!$L$3:$L$1000=O$2)*(Input!$O$3:$O$1000=$B6)*(Input!$S$3:$S$1000))</f>
        <v>0</v>
      </c>
      <c r="P6" s="14"/>
    </row>
    <row r="7" spans="1:16" x14ac:dyDescent="0.2">
      <c r="A7" s="12">
        <f t="shared" ca="1" si="0"/>
        <v>4</v>
      </c>
      <c r="B7" s="13" t="s">
        <v>9</v>
      </c>
      <c r="C7" s="14">
        <f t="array" aca="1" ref="C7" ca="1">SUM(LARGE(E7:P7,{1,2,3,4,5,6}))</f>
        <v>329</v>
      </c>
      <c r="D7" s="14">
        <f t="shared" ca="1" si="1"/>
        <v>6</v>
      </c>
      <c r="E7" s="14">
        <f ca="1">SUMPRODUCT((Input!$L$3:$L$1000=E$2)*(Input!$O$3:$O$1000=$B7)*(Input!$S$3:$S$1000))</f>
        <v>0</v>
      </c>
      <c r="F7" s="14">
        <f ca="1">SUMPRODUCT((Input!$L$3:$L$1000=F$2)*(Input!$O$3:$O$1000=$B7)*(Input!$S$3:$S$1000))</f>
        <v>58</v>
      </c>
      <c r="G7" s="14">
        <f ca="1">SUMPRODUCT((Input!$L$3:$L$1000=G$2)*(Input!$O$3:$O$1000=$B7)*(Input!$S$3:$S$1000))</f>
        <v>50</v>
      </c>
      <c r="H7" s="14">
        <f ca="1">SUMPRODUCT((Input!$L$3:$L$1000=H$2)*(Input!$O$3:$O$1000=$B7)*(Input!$S$3:$S$1000))</f>
        <v>53</v>
      </c>
      <c r="I7" s="14">
        <f ca="1">SUMPRODUCT((Input!$L$3:$L$1000=I$2)*(Input!$O$3:$O$1000=$B7)*(Input!$S$3:$S$1000))</f>
        <v>0</v>
      </c>
      <c r="J7" s="14">
        <f ca="1">SUMPRODUCT((Input!$L$3:$L$1000=J$2)*(Input!$O$3:$O$1000=$B7)*(Input!$S$3:$S$1000))</f>
        <v>56</v>
      </c>
      <c r="K7" s="14">
        <f ca="1">SUMPRODUCT((Input!$L$3:$L$1000=K$2)*(Input!$O$3:$O$1000=$B7)*(Input!$S$3:$S$1000))</f>
        <v>56</v>
      </c>
      <c r="L7" s="14">
        <f ca="1">SUMPRODUCT((Input!$L$3:$L$1000=L$2)*(Input!$O$3:$O$1000=$B7)*(Input!$S$3:$S$1000))</f>
        <v>0</v>
      </c>
      <c r="M7" s="14">
        <f ca="1">SUMPRODUCT((Input!$L$3:$L$1000=M$2)*(Input!$O$3:$O$1000=$B7)*(Input!$S$3:$S$1000))</f>
        <v>56</v>
      </c>
      <c r="N7" s="14">
        <f ca="1">SUMPRODUCT((Input!$L$3:$L$1000=N$2)*(Input!$O$3:$O$1000=$B7)*(Input!$S$3:$S$1000))</f>
        <v>0</v>
      </c>
      <c r="O7" s="14">
        <f ca="1">SUMPRODUCT((Input!$L$3:$L$1000=O$2)*(Input!$O$3:$O$1000=$B7)*(Input!$S$3:$S$1000))</f>
        <v>0</v>
      </c>
      <c r="P7" s="14"/>
    </row>
    <row r="8" spans="1:16" x14ac:dyDescent="0.2">
      <c r="A8" s="12">
        <f t="shared" ca="1" si="0"/>
        <v>5</v>
      </c>
      <c r="B8" s="13" t="s">
        <v>10</v>
      </c>
      <c r="C8" s="14">
        <f t="array" aca="1" ref="C8" ca="1">SUM(LARGE(E8:P8,{1,2,3,4,5,6}))</f>
        <v>295</v>
      </c>
      <c r="D8" s="14">
        <f t="shared" ca="1" si="1"/>
        <v>5</v>
      </c>
      <c r="E8" s="14">
        <f ca="1">SUMPRODUCT((Input!$L$3:$L$1000=E$2)*(Input!$O$3:$O$1000=$B8)*(Input!$S$3:$S$1000))</f>
        <v>0</v>
      </c>
      <c r="F8" s="14">
        <f ca="1">SUMPRODUCT((Input!$L$3:$L$1000=F$2)*(Input!$O$3:$O$1000=$B8)*(Input!$S$3:$S$1000))</f>
        <v>0</v>
      </c>
      <c r="G8" s="14">
        <f ca="1">SUMPRODUCT((Input!$L$3:$L$1000=G$2)*(Input!$O$3:$O$1000=$B8)*(Input!$S$3:$S$1000))</f>
        <v>60</v>
      </c>
      <c r="H8" s="14">
        <f ca="1">SUMPRODUCT((Input!$L$3:$L$1000=H$2)*(Input!$O$3:$O$1000=$B8)*(Input!$S$3:$S$1000))</f>
        <v>57</v>
      </c>
      <c r="I8" s="14">
        <f ca="1">SUMPRODUCT((Input!$L$3:$L$1000=I$2)*(Input!$O$3:$O$1000=$B8)*(Input!$S$3:$S$1000))</f>
        <v>60</v>
      </c>
      <c r="J8" s="14">
        <f ca="1">SUMPRODUCT((Input!$L$3:$L$1000=J$2)*(Input!$O$3:$O$1000=$B8)*(Input!$S$3:$S$1000))</f>
        <v>0</v>
      </c>
      <c r="K8" s="14">
        <f ca="1">SUMPRODUCT((Input!$L$3:$L$1000=K$2)*(Input!$O$3:$O$1000=$B8)*(Input!$S$3:$S$1000))</f>
        <v>0</v>
      </c>
      <c r="L8" s="14">
        <f ca="1">SUMPRODUCT((Input!$L$3:$L$1000=L$2)*(Input!$O$3:$O$1000=$B8)*(Input!$S$3:$S$1000))</f>
        <v>60</v>
      </c>
      <c r="M8" s="14">
        <f ca="1">SUMPRODUCT((Input!$L$3:$L$1000=M$2)*(Input!$O$3:$O$1000=$B8)*(Input!$S$3:$S$1000))</f>
        <v>58</v>
      </c>
      <c r="N8" s="14">
        <f ca="1">SUMPRODUCT((Input!$L$3:$L$1000=N$2)*(Input!$O$3:$O$1000=$B8)*(Input!$S$3:$S$1000))</f>
        <v>0</v>
      </c>
      <c r="O8" s="14">
        <f ca="1">SUMPRODUCT((Input!$L$3:$L$1000=O$2)*(Input!$O$3:$O$1000=$B8)*(Input!$S$3:$S$1000))</f>
        <v>0</v>
      </c>
      <c r="P8" s="14"/>
    </row>
    <row r="9" spans="1:16" x14ac:dyDescent="0.2">
      <c r="A9" s="12">
        <f t="shared" ca="1" si="0"/>
        <v>6</v>
      </c>
      <c r="B9" s="13" t="s">
        <v>11</v>
      </c>
      <c r="C9" s="14">
        <f t="array" aca="1" ref="C9" ca="1">SUM(LARGE(E9:P9,{1,2,3,4,5,6}))</f>
        <v>180</v>
      </c>
      <c r="D9" s="14">
        <f t="shared" ca="1" si="1"/>
        <v>3</v>
      </c>
      <c r="E9" s="14">
        <f ca="1">SUMPRODUCT((Input!$L$3:$L$1000=E$2)*(Input!$O$3:$O$1000=$B9)*(Input!$S$3:$S$1000))</f>
        <v>0</v>
      </c>
      <c r="F9" s="14">
        <f ca="1">SUMPRODUCT((Input!$L$3:$L$1000=F$2)*(Input!$O$3:$O$1000=$B9)*(Input!$S$3:$S$1000))</f>
        <v>0</v>
      </c>
      <c r="G9" s="14">
        <f ca="1">SUMPRODUCT((Input!$L$3:$L$1000=G$2)*(Input!$O$3:$O$1000=$B9)*(Input!$S$3:$S$1000))</f>
        <v>0</v>
      </c>
      <c r="H9" s="14">
        <f ca="1">SUMPRODUCT((Input!$L$3:$L$1000=H$2)*(Input!$O$3:$O$1000=$B9)*(Input!$S$3:$S$1000))</f>
        <v>60</v>
      </c>
      <c r="I9" s="14">
        <f ca="1">SUMPRODUCT((Input!$L$3:$L$1000=I$2)*(Input!$O$3:$O$1000=$B9)*(Input!$S$3:$S$1000))</f>
        <v>0</v>
      </c>
      <c r="J9" s="14">
        <f ca="1">SUMPRODUCT((Input!$L$3:$L$1000=J$2)*(Input!$O$3:$O$1000=$B9)*(Input!$S$3:$S$1000))</f>
        <v>60</v>
      </c>
      <c r="K9" s="14">
        <f ca="1">SUMPRODUCT((Input!$L$3:$L$1000=K$2)*(Input!$O$3:$O$1000=$B9)*(Input!$S$3:$S$1000))</f>
        <v>60</v>
      </c>
      <c r="L9" s="14">
        <f ca="1">SUMPRODUCT((Input!$L$3:$L$1000=L$2)*(Input!$O$3:$O$1000=$B9)*(Input!$S$3:$S$1000))</f>
        <v>0</v>
      </c>
      <c r="M9" s="14">
        <f ca="1">SUMPRODUCT((Input!$L$3:$L$1000=M$2)*(Input!$O$3:$O$1000=$B9)*(Input!$S$3:$S$1000))</f>
        <v>0</v>
      </c>
      <c r="N9" s="14">
        <f ca="1">SUMPRODUCT((Input!$L$3:$L$1000=N$2)*(Input!$O$3:$O$1000=$B9)*(Input!$S$3:$S$1000))</f>
        <v>0</v>
      </c>
      <c r="O9" s="14">
        <f ca="1">SUMPRODUCT((Input!$L$3:$L$1000=O$2)*(Input!$O$3:$O$1000=$B9)*(Input!$S$3:$S$1000))</f>
        <v>0</v>
      </c>
      <c r="P9" s="14"/>
    </row>
    <row r="10" spans="1:16" x14ac:dyDescent="0.2">
      <c r="A10" s="12">
        <f t="shared" ca="1" si="0"/>
        <v>7</v>
      </c>
      <c r="B10" s="13" t="s">
        <v>12</v>
      </c>
      <c r="C10" s="14">
        <f t="array" aca="1" ref="C10" ca="1">SUM(LARGE(E10:P10,{1,2,3,4,5,6}))</f>
        <v>160</v>
      </c>
      <c r="D10" s="14">
        <f t="shared" ca="1" si="1"/>
        <v>3</v>
      </c>
      <c r="E10" s="14">
        <f ca="1">SUMPRODUCT((Input!$L$3:$L$1000=E$2)*(Input!$O$3:$O$1000=$B10)*(Input!$S$3:$S$1000))</f>
        <v>0</v>
      </c>
      <c r="F10" s="14">
        <f ca="1">SUMPRODUCT((Input!$L$3:$L$1000=F$2)*(Input!$O$3:$O$1000=$B10)*(Input!$S$3:$S$1000))</f>
        <v>0</v>
      </c>
      <c r="G10" s="14">
        <f ca="1">SUMPRODUCT((Input!$L$3:$L$1000=G$2)*(Input!$O$3:$O$1000=$B10)*(Input!$S$3:$S$1000))</f>
        <v>51</v>
      </c>
      <c r="H10" s="14">
        <f ca="1">SUMPRODUCT((Input!$L$3:$L$1000=H$2)*(Input!$O$3:$O$1000=$B10)*(Input!$S$3:$S$1000))</f>
        <v>0</v>
      </c>
      <c r="I10" s="14">
        <f ca="1">SUMPRODUCT((Input!$L$3:$L$1000=I$2)*(Input!$O$3:$O$1000=$B10)*(Input!$S$3:$S$1000))</f>
        <v>0</v>
      </c>
      <c r="J10" s="14">
        <f ca="1">SUMPRODUCT((Input!$L$3:$L$1000=J$2)*(Input!$O$3:$O$1000=$B10)*(Input!$S$3:$S$1000))</f>
        <v>0</v>
      </c>
      <c r="K10" s="14">
        <f ca="1">SUMPRODUCT((Input!$L$3:$L$1000=K$2)*(Input!$O$3:$O$1000=$B10)*(Input!$S$3:$S$1000))</f>
        <v>54</v>
      </c>
      <c r="L10" s="14">
        <f ca="1">SUMPRODUCT((Input!$L$3:$L$1000=L$2)*(Input!$O$3:$O$1000=$B10)*(Input!$S$3:$S$1000))</f>
        <v>0</v>
      </c>
      <c r="M10" s="14">
        <f ca="1">SUMPRODUCT((Input!$L$3:$L$1000=M$2)*(Input!$O$3:$O$1000=$B10)*(Input!$S$3:$S$1000))</f>
        <v>55</v>
      </c>
      <c r="N10" s="14">
        <f ca="1">SUMPRODUCT((Input!$L$3:$L$1000=N$2)*(Input!$O$3:$O$1000=$B10)*(Input!$S$3:$S$1000))</f>
        <v>0</v>
      </c>
      <c r="O10" s="14">
        <f ca="1">SUMPRODUCT((Input!$L$3:$L$1000=O$2)*(Input!$O$3:$O$1000=$B10)*(Input!$S$3:$S$1000))</f>
        <v>0</v>
      </c>
      <c r="P10" s="14"/>
    </row>
    <row r="11" spans="1:16" x14ac:dyDescent="0.2">
      <c r="A11" s="12">
        <f t="shared" ca="1" si="0"/>
        <v>8</v>
      </c>
      <c r="B11" s="13" t="s">
        <v>13</v>
      </c>
      <c r="C11" s="14">
        <f t="array" aca="1" ref="C11" ca="1">SUM(LARGE(E11:P11,{1,2,3,4,5,6}))</f>
        <v>153</v>
      </c>
      <c r="D11" s="14">
        <f t="shared" ca="1" si="1"/>
        <v>3</v>
      </c>
      <c r="E11" s="14">
        <f ca="1">SUMPRODUCT((Input!$L$3:$L$1000=E$2)*(Input!$O$3:$O$1000=$B11)*(Input!$S$3:$S$1000))</f>
        <v>0</v>
      </c>
      <c r="F11" s="14">
        <f ca="1">SUMPRODUCT((Input!$L$3:$L$1000=F$2)*(Input!$O$3:$O$1000=$B11)*(Input!$S$3:$S$1000))</f>
        <v>0</v>
      </c>
      <c r="G11" s="14">
        <f ca="1">SUMPRODUCT((Input!$L$3:$L$1000=G$2)*(Input!$O$3:$O$1000=$B11)*(Input!$S$3:$S$1000))</f>
        <v>46</v>
      </c>
      <c r="H11" s="14">
        <f ca="1">SUMPRODUCT((Input!$L$3:$L$1000=H$2)*(Input!$O$3:$O$1000=$B11)*(Input!$S$3:$S$1000))</f>
        <v>0</v>
      </c>
      <c r="I11" s="14">
        <f ca="1">SUMPRODUCT((Input!$L$3:$L$1000=I$2)*(Input!$O$3:$O$1000=$B11)*(Input!$S$3:$S$1000))</f>
        <v>0</v>
      </c>
      <c r="J11" s="14">
        <f ca="1">SUMPRODUCT((Input!$L$3:$L$1000=J$2)*(Input!$O$3:$O$1000=$B11)*(Input!$S$3:$S$1000))</f>
        <v>53</v>
      </c>
      <c r="K11" s="14">
        <f ca="1">SUMPRODUCT((Input!$L$3:$L$1000=K$2)*(Input!$O$3:$O$1000=$B11)*(Input!$S$3:$S$1000))</f>
        <v>0</v>
      </c>
      <c r="L11" s="14">
        <f ca="1">SUMPRODUCT((Input!$L$3:$L$1000=L$2)*(Input!$O$3:$O$1000=$B11)*(Input!$S$3:$S$1000))</f>
        <v>0</v>
      </c>
      <c r="M11" s="14">
        <f ca="1">SUMPRODUCT((Input!$L$3:$L$1000=M$2)*(Input!$O$3:$O$1000=$B11)*(Input!$S$3:$S$1000))</f>
        <v>54</v>
      </c>
      <c r="N11" s="14">
        <f ca="1">SUMPRODUCT((Input!$L$3:$L$1000=N$2)*(Input!$O$3:$O$1000=$B11)*(Input!$S$3:$S$1000))</f>
        <v>0</v>
      </c>
      <c r="O11" s="14">
        <f ca="1">SUMPRODUCT((Input!$L$3:$L$1000=O$2)*(Input!$O$3:$O$1000=$B11)*(Input!$S$3:$S$1000))</f>
        <v>0</v>
      </c>
      <c r="P11" s="14"/>
    </row>
    <row r="12" spans="1:16" x14ac:dyDescent="0.2">
      <c r="A12" s="12">
        <f t="shared" ca="1" si="0"/>
        <v>9</v>
      </c>
      <c r="B12" s="13" t="s">
        <v>14</v>
      </c>
      <c r="C12" s="14">
        <f t="array" aca="1" ref="C12" ca="1">SUM(LARGE(E12:P12,{1,2,3,4,5,6}))</f>
        <v>119</v>
      </c>
      <c r="D12" s="14">
        <f t="shared" ca="1" si="1"/>
        <v>2</v>
      </c>
      <c r="E12" s="14">
        <f ca="1">SUMPRODUCT((Input!$L$3:$L$1000=E$2)*(Input!$O$3:$O$1000=$B12)*(Input!$S$3:$S$1000))</f>
        <v>0</v>
      </c>
      <c r="F12" s="14">
        <f ca="1">SUMPRODUCT((Input!$L$3:$L$1000=F$2)*(Input!$O$3:$O$1000=$B12)*(Input!$S$3:$S$1000))</f>
        <v>60</v>
      </c>
      <c r="G12" s="14">
        <f ca="1">SUMPRODUCT((Input!$L$3:$L$1000=G$2)*(Input!$O$3:$O$1000=$B12)*(Input!$S$3:$S$1000))</f>
        <v>0</v>
      </c>
      <c r="H12" s="14">
        <f ca="1">SUMPRODUCT((Input!$L$3:$L$1000=H$2)*(Input!$O$3:$O$1000=$B12)*(Input!$S$3:$S$1000))</f>
        <v>59</v>
      </c>
      <c r="I12" s="14">
        <f ca="1">SUMPRODUCT((Input!$L$3:$L$1000=I$2)*(Input!$O$3:$O$1000=$B12)*(Input!$S$3:$S$1000))</f>
        <v>0</v>
      </c>
      <c r="J12" s="14">
        <f ca="1">SUMPRODUCT((Input!$L$3:$L$1000=J$2)*(Input!$O$3:$O$1000=$B12)*(Input!$S$3:$S$1000))</f>
        <v>0</v>
      </c>
      <c r="K12" s="14">
        <f ca="1">SUMPRODUCT((Input!$L$3:$L$1000=K$2)*(Input!$O$3:$O$1000=$B12)*(Input!$S$3:$S$1000))</f>
        <v>0</v>
      </c>
      <c r="L12" s="14">
        <f ca="1">SUMPRODUCT((Input!$L$3:$L$1000=L$2)*(Input!$O$3:$O$1000=$B12)*(Input!$S$3:$S$1000))</f>
        <v>0</v>
      </c>
      <c r="M12" s="14">
        <f ca="1">SUMPRODUCT((Input!$L$3:$L$1000=M$2)*(Input!$O$3:$O$1000=$B12)*(Input!$S$3:$S$1000))</f>
        <v>0</v>
      </c>
      <c r="N12" s="14">
        <f ca="1">SUMPRODUCT((Input!$L$3:$L$1000=N$2)*(Input!$O$3:$O$1000=$B12)*(Input!$S$3:$S$1000))</f>
        <v>0</v>
      </c>
      <c r="O12" s="14">
        <f ca="1">SUMPRODUCT((Input!$L$3:$L$1000=O$2)*(Input!$O$3:$O$1000=$B12)*(Input!$S$3:$S$1000))</f>
        <v>0</v>
      </c>
      <c r="P12" s="14"/>
    </row>
    <row r="13" spans="1:16" x14ac:dyDescent="0.2">
      <c r="A13" s="12">
        <f t="shared" ca="1" si="0"/>
        <v>10</v>
      </c>
      <c r="B13" s="13" t="s">
        <v>15</v>
      </c>
      <c r="C13" s="14">
        <f t="array" aca="1" ref="C13" ca="1">SUM(LARGE(E13:P13,{1,2,3,4,5,6}))</f>
        <v>114</v>
      </c>
      <c r="D13" s="14">
        <f t="shared" ca="1" si="1"/>
        <v>2</v>
      </c>
      <c r="E13" s="14">
        <f ca="1">SUMPRODUCT((Input!$L$3:$L$1000=E$2)*(Input!$O$3:$O$1000=$B13)*(Input!$S$3:$S$1000))</f>
        <v>0</v>
      </c>
      <c r="F13" s="14">
        <f ca="1">SUMPRODUCT((Input!$L$3:$L$1000=F$2)*(Input!$O$3:$O$1000=$B13)*(Input!$S$3:$S$1000))</f>
        <v>59</v>
      </c>
      <c r="G13" s="14">
        <f ca="1">SUMPRODUCT((Input!$L$3:$L$1000=G$2)*(Input!$O$3:$O$1000=$B13)*(Input!$S$3:$S$1000))</f>
        <v>0</v>
      </c>
      <c r="H13" s="14">
        <f ca="1">SUMPRODUCT((Input!$L$3:$L$1000=H$2)*(Input!$O$3:$O$1000=$B13)*(Input!$S$3:$S$1000))</f>
        <v>55</v>
      </c>
      <c r="I13" s="14">
        <f ca="1">SUMPRODUCT((Input!$L$3:$L$1000=I$2)*(Input!$O$3:$O$1000=$B13)*(Input!$S$3:$S$1000))</f>
        <v>0</v>
      </c>
      <c r="J13" s="14">
        <f ca="1">SUMPRODUCT((Input!$L$3:$L$1000=J$2)*(Input!$O$3:$O$1000=$B13)*(Input!$S$3:$S$1000))</f>
        <v>0</v>
      </c>
      <c r="K13" s="14">
        <f ca="1">SUMPRODUCT((Input!$L$3:$L$1000=K$2)*(Input!$O$3:$O$1000=$B13)*(Input!$S$3:$S$1000))</f>
        <v>0</v>
      </c>
      <c r="L13" s="14">
        <f ca="1">SUMPRODUCT((Input!$L$3:$L$1000=L$2)*(Input!$O$3:$O$1000=$B13)*(Input!$S$3:$S$1000))</f>
        <v>0</v>
      </c>
      <c r="M13" s="14">
        <f ca="1">SUMPRODUCT((Input!$L$3:$L$1000=M$2)*(Input!$O$3:$O$1000=$B13)*(Input!$S$3:$S$1000))</f>
        <v>0</v>
      </c>
      <c r="N13" s="14">
        <f ca="1">SUMPRODUCT((Input!$L$3:$L$1000=N$2)*(Input!$O$3:$O$1000=$B13)*(Input!$S$3:$S$1000))</f>
        <v>0</v>
      </c>
      <c r="O13" s="14">
        <f ca="1">SUMPRODUCT((Input!$L$3:$L$1000=O$2)*(Input!$O$3:$O$1000=$B13)*(Input!$S$3:$S$1000))</f>
        <v>0</v>
      </c>
      <c r="P13" s="14"/>
    </row>
    <row r="14" spans="1:16" x14ac:dyDescent="0.2">
      <c r="A14" s="12">
        <f t="shared" ca="1" si="0"/>
        <v>10</v>
      </c>
      <c r="B14" s="13" t="s">
        <v>16</v>
      </c>
      <c r="C14" s="14">
        <f t="array" aca="1" ref="C14" ca="1">SUM(LARGE(E14:P14,{1,2,3,4,5,6}))</f>
        <v>114</v>
      </c>
      <c r="D14" s="14">
        <f t="shared" ca="1" si="1"/>
        <v>2</v>
      </c>
      <c r="E14" s="14">
        <f ca="1">SUMPRODUCT((Input!$L$3:$L$1000=E$2)*(Input!$O$3:$O$1000=$B14)*(Input!$S$3:$S$1000))</f>
        <v>0</v>
      </c>
      <c r="F14" s="14">
        <f ca="1">SUMPRODUCT((Input!$L$3:$L$1000=F$2)*(Input!$O$3:$O$1000=$B14)*(Input!$S$3:$S$1000))</f>
        <v>0</v>
      </c>
      <c r="G14" s="14">
        <f ca="1">SUMPRODUCT((Input!$L$3:$L$1000=G$2)*(Input!$O$3:$O$1000=$B14)*(Input!$S$3:$S$1000))</f>
        <v>57</v>
      </c>
      <c r="H14" s="14">
        <f ca="1">SUMPRODUCT((Input!$L$3:$L$1000=H$2)*(Input!$O$3:$O$1000=$B14)*(Input!$S$3:$S$1000))</f>
        <v>0</v>
      </c>
      <c r="I14" s="14">
        <f ca="1">SUMPRODUCT((Input!$L$3:$L$1000=I$2)*(Input!$O$3:$O$1000=$B14)*(Input!$S$3:$S$1000))</f>
        <v>0</v>
      </c>
      <c r="J14" s="14">
        <f ca="1">SUMPRODUCT((Input!$L$3:$L$1000=J$2)*(Input!$O$3:$O$1000=$B14)*(Input!$S$3:$S$1000))</f>
        <v>0</v>
      </c>
      <c r="K14" s="14">
        <f ca="1">SUMPRODUCT((Input!$L$3:$L$1000=K$2)*(Input!$O$3:$O$1000=$B14)*(Input!$S$3:$S$1000))</f>
        <v>0</v>
      </c>
      <c r="L14" s="14">
        <f ca="1">SUMPRODUCT((Input!$L$3:$L$1000=L$2)*(Input!$O$3:$O$1000=$B14)*(Input!$S$3:$S$1000))</f>
        <v>0</v>
      </c>
      <c r="M14" s="14">
        <f ca="1">SUMPRODUCT((Input!$L$3:$L$1000=M$2)*(Input!$O$3:$O$1000=$B14)*(Input!$S$3:$S$1000))</f>
        <v>57</v>
      </c>
      <c r="N14" s="14">
        <f ca="1">SUMPRODUCT((Input!$L$3:$L$1000=N$2)*(Input!$O$3:$O$1000=$B14)*(Input!$S$3:$S$1000))</f>
        <v>0</v>
      </c>
      <c r="O14" s="14">
        <f ca="1">SUMPRODUCT((Input!$L$3:$L$1000=O$2)*(Input!$O$3:$O$1000=$B14)*(Input!$S$3:$S$1000))</f>
        <v>0</v>
      </c>
      <c r="P14" s="14"/>
    </row>
    <row r="15" spans="1:16" x14ac:dyDescent="0.2">
      <c r="A15" s="12">
        <f t="shared" ca="1" si="0"/>
        <v>12</v>
      </c>
      <c r="B15" s="13" t="s">
        <v>17</v>
      </c>
      <c r="C15" s="14">
        <f t="array" aca="1" ref="C15" ca="1">SUM(LARGE(E15:P15,{1,2,3,4,5,6}))</f>
        <v>110</v>
      </c>
      <c r="D15" s="14">
        <f t="shared" ca="1" si="1"/>
        <v>2</v>
      </c>
      <c r="E15" s="14">
        <f ca="1">SUMPRODUCT((Input!$L$3:$L$1000=E$2)*(Input!$O$3:$O$1000=$B15)*(Input!$S$3:$S$1000))</f>
        <v>0</v>
      </c>
      <c r="F15" s="14">
        <f ca="1">SUMPRODUCT((Input!$L$3:$L$1000=F$2)*(Input!$O$3:$O$1000=$B15)*(Input!$S$3:$S$1000))</f>
        <v>0</v>
      </c>
      <c r="G15" s="14">
        <f ca="1">SUMPRODUCT((Input!$L$3:$L$1000=G$2)*(Input!$O$3:$O$1000=$B15)*(Input!$S$3:$S$1000))</f>
        <v>55</v>
      </c>
      <c r="H15" s="14">
        <f ca="1">SUMPRODUCT((Input!$L$3:$L$1000=H$2)*(Input!$O$3:$O$1000=$B15)*(Input!$S$3:$S$1000))</f>
        <v>0</v>
      </c>
      <c r="I15" s="14">
        <f ca="1">SUMPRODUCT((Input!$L$3:$L$1000=I$2)*(Input!$O$3:$O$1000=$B15)*(Input!$S$3:$S$1000))</f>
        <v>0</v>
      </c>
      <c r="J15" s="14">
        <f ca="1">SUMPRODUCT((Input!$L$3:$L$1000=J$2)*(Input!$O$3:$O$1000=$B15)*(Input!$S$3:$S$1000))</f>
        <v>55</v>
      </c>
      <c r="K15" s="14">
        <f ca="1">SUMPRODUCT((Input!$L$3:$L$1000=K$2)*(Input!$O$3:$O$1000=$B15)*(Input!$S$3:$S$1000))</f>
        <v>0</v>
      </c>
      <c r="L15" s="14">
        <f ca="1">SUMPRODUCT((Input!$L$3:$L$1000=L$2)*(Input!$O$3:$O$1000=$B15)*(Input!$S$3:$S$1000))</f>
        <v>0</v>
      </c>
      <c r="M15" s="14">
        <f ca="1">SUMPRODUCT((Input!$L$3:$L$1000=M$2)*(Input!$O$3:$O$1000=$B15)*(Input!$S$3:$S$1000))</f>
        <v>0</v>
      </c>
      <c r="N15" s="14">
        <f ca="1">SUMPRODUCT((Input!$L$3:$L$1000=N$2)*(Input!$O$3:$O$1000=$B15)*(Input!$S$3:$S$1000))</f>
        <v>0</v>
      </c>
      <c r="O15" s="14">
        <f ca="1">SUMPRODUCT((Input!$L$3:$L$1000=O$2)*(Input!$O$3:$O$1000=$B15)*(Input!$S$3:$S$1000))</f>
        <v>0</v>
      </c>
      <c r="P15" s="14"/>
    </row>
    <row r="16" spans="1:16" x14ac:dyDescent="0.2">
      <c r="A16" s="12">
        <f t="shared" ca="1" si="0"/>
        <v>13</v>
      </c>
      <c r="B16" s="13" t="s">
        <v>18</v>
      </c>
      <c r="C16" s="14">
        <f t="array" aca="1" ref="C16" ca="1">SUM(LARGE(E16:P16,{1,2,3,4,5,6}))</f>
        <v>108</v>
      </c>
      <c r="D16" s="14">
        <f t="shared" ca="1" si="1"/>
        <v>2</v>
      </c>
      <c r="E16" s="14">
        <f ca="1">SUMPRODUCT((Input!$L$3:$L$1000=E$2)*(Input!$O$3:$O$1000=$B16)*(Input!$S$3:$S$1000))</f>
        <v>0</v>
      </c>
      <c r="F16" s="14">
        <f ca="1">SUMPRODUCT((Input!$L$3:$L$1000=F$2)*(Input!$O$3:$O$1000=$B16)*(Input!$S$3:$S$1000))</f>
        <v>0</v>
      </c>
      <c r="G16" s="14">
        <f ca="1">SUMPRODUCT((Input!$L$3:$L$1000=G$2)*(Input!$O$3:$O$1000=$B16)*(Input!$S$3:$S$1000))</f>
        <v>53</v>
      </c>
      <c r="H16" s="14">
        <f ca="1">SUMPRODUCT((Input!$L$3:$L$1000=H$2)*(Input!$O$3:$O$1000=$B16)*(Input!$S$3:$S$1000))</f>
        <v>0</v>
      </c>
      <c r="I16" s="14">
        <f ca="1">SUMPRODUCT((Input!$L$3:$L$1000=I$2)*(Input!$O$3:$O$1000=$B16)*(Input!$S$3:$S$1000))</f>
        <v>0</v>
      </c>
      <c r="J16" s="14">
        <f ca="1">SUMPRODUCT((Input!$L$3:$L$1000=J$2)*(Input!$O$3:$O$1000=$B16)*(Input!$S$3:$S$1000))</f>
        <v>55</v>
      </c>
      <c r="K16" s="14">
        <f ca="1">SUMPRODUCT((Input!$L$3:$L$1000=K$2)*(Input!$O$3:$O$1000=$B16)*(Input!$S$3:$S$1000))</f>
        <v>0</v>
      </c>
      <c r="L16" s="14">
        <f ca="1">SUMPRODUCT((Input!$L$3:$L$1000=L$2)*(Input!$O$3:$O$1000=$B16)*(Input!$S$3:$S$1000))</f>
        <v>0</v>
      </c>
      <c r="M16" s="14">
        <f ca="1">SUMPRODUCT((Input!$L$3:$L$1000=M$2)*(Input!$O$3:$O$1000=$B16)*(Input!$S$3:$S$1000))</f>
        <v>0</v>
      </c>
      <c r="N16" s="14">
        <f ca="1">SUMPRODUCT((Input!$L$3:$L$1000=N$2)*(Input!$O$3:$O$1000=$B16)*(Input!$S$3:$S$1000))</f>
        <v>0</v>
      </c>
      <c r="O16" s="14">
        <f ca="1">SUMPRODUCT((Input!$L$3:$L$1000=O$2)*(Input!$O$3:$O$1000=$B16)*(Input!$S$3:$S$1000))</f>
        <v>0</v>
      </c>
      <c r="P16" s="14"/>
    </row>
    <row r="17" spans="1:16" x14ac:dyDescent="0.2">
      <c r="A17" s="12">
        <f t="shared" ca="1" si="0"/>
        <v>14</v>
      </c>
      <c r="B17" s="15" t="s">
        <v>19</v>
      </c>
      <c r="C17" s="14">
        <f t="array" aca="1" ref="C17" ca="1">SUM(LARGE(E17:P17,{1,2,3,4,5,6}))</f>
        <v>96</v>
      </c>
      <c r="D17" s="14">
        <f t="shared" ca="1" si="1"/>
        <v>2</v>
      </c>
      <c r="E17" s="14">
        <f ca="1">SUMPRODUCT((Input!$L$3:$L$1000=E$2)*(Input!$O$3:$O$1000=$B17)*(Input!$S$3:$S$1000))</f>
        <v>0</v>
      </c>
      <c r="F17" s="14">
        <f ca="1">SUMPRODUCT((Input!$L$3:$L$1000=F$2)*(Input!$O$3:$O$1000=$B17)*(Input!$S$3:$S$1000))</f>
        <v>0</v>
      </c>
      <c r="G17" s="14">
        <f ca="1">SUMPRODUCT((Input!$L$3:$L$1000=G$2)*(Input!$O$3:$O$1000=$B17)*(Input!$S$3:$S$1000))</f>
        <v>44</v>
      </c>
      <c r="H17" s="14">
        <f ca="1">SUMPRODUCT((Input!$L$3:$L$1000=H$2)*(Input!$O$3:$O$1000=$B17)*(Input!$S$3:$S$1000))</f>
        <v>0</v>
      </c>
      <c r="I17" s="14">
        <f ca="1">SUMPRODUCT((Input!$L$3:$L$1000=I$2)*(Input!$O$3:$O$1000=$B17)*(Input!$S$3:$S$1000))</f>
        <v>0</v>
      </c>
      <c r="J17" s="14">
        <f ca="1">SUMPRODUCT((Input!$L$3:$L$1000=J$2)*(Input!$O$3:$O$1000=$B17)*(Input!$S$3:$S$1000))</f>
        <v>52</v>
      </c>
      <c r="K17" s="14">
        <f ca="1">SUMPRODUCT((Input!$L$3:$L$1000=K$2)*(Input!$O$3:$O$1000=$B17)*(Input!$S$3:$S$1000))</f>
        <v>0</v>
      </c>
      <c r="L17" s="14">
        <f ca="1">SUMPRODUCT((Input!$L$3:$L$1000=L$2)*(Input!$O$3:$O$1000=$B17)*(Input!$S$3:$S$1000))</f>
        <v>0</v>
      </c>
      <c r="M17" s="14">
        <f ca="1">SUMPRODUCT((Input!$L$3:$L$1000=M$2)*(Input!$O$3:$O$1000=$B17)*(Input!$S$3:$S$1000))</f>
        <v>0</v>
      </c>
      <c r="N17" s="14">
        <f ca="1">SUMPRODUCT((Input!$L$3:$L$1000=N$2)*(Input!$O$3:$O$1000=$B17)*(Input!$S$3:$S$1000))</f>
        <v>0</v>
      </c>
      <c r="O17" s="14">
        <f ca="1">SUMPRODUCT((Input!$L$3:$L$1000=O$2)*(Input!$O$3:$O$1000=$B17)*(Input!$S$3:$S$1000))</f>
        <v>0</v>
      </c>
      <c r="P17" s="14"/>
    </row>
    <row r="18" spans="1:16" x14ac:dyDescent="0.2">
      <c r="A18" s="12">
        <f t="shared" ca="1" si="0"/>
        <v>15</v>
      </c>
      <c r="B18" s="13" t="s">
        <v>20</v>
      </c>
      <c r="C18" s="14">
        <f t="array" aca="1" ref="C18" ca="1">SUM(LARGE(E18:P18,{1,2,3,4,5,6}))</f>
        <v>94</v>
      </c>
      <c r="D18" s="14">
        <f t="shared" ca="1" si="1"/>
        <v>2</v>
      </c>
      <c r="E18" s="14">
        <f ca="1">SUMPRODUCT((Input!$L$3:$L$1000=E$2)*(Input!$O$3:$O$1000=$B18)*(Input!$S$3:$S$1000))</f>
        <v>0</v>
      </c>
      <c r="F18" s="14">
        <f ca="1">SUMPRODUCT((Input!$L$3:$L$1000=F$2)*(Input!$O$3:$O$1000=$B18)*(Input!$S$3:$S$1000))</f>
        <v>0</v>
      </c>
      <c r="G18" s="14">
        <f ca="1">SUMPRODUCT((Input!$L$3:$L$1000=G$2)*(Input!$O$3:$O$1000=$B18)*(Input!$S$3:$S$1000))</f>
        <v>43</v>
      </c>
      <c r="H18" s="14">
        <f ca="1">SUMPRODUCT((Input!$L$3:$L$1000=H$2)*(Input!$O$3:$O$1000=$B18)*(Input!$S$3:$S$1000))</f>
        <v>0</v>
      </c>
      <c r="I18" s="14">
        <f ca="1">SUMPRODUCT((Input!$L$3:$L$1000=I$2)*(Input!$O$3:$O$1000=$B18)*(Input!$S$3:$S$1000))</f>
        <v>0</v>
      </c>
      <c r="J18" s="14">
        <f ca="1">SUMPRODUCT((Input!$L$3:$L$1000=J$2)*(Input!$O$3:$O$1000=$B18)*(Input!$S$3:$S$1000))</f>
        <v>51</v>
      </c>
      <c r="K18" s="14">
        <f ca="1">SUMPRODUCT((Input!$L$3:$L$1000=K$2)*(Input!$O$3:$O$1000=$B18)*(Input!$S$3:$S$1000))</f>
        <v>0</v>
      </c>
      <c r="L18" s="14">
        <f ca="1">SUMPRODUCT((Input!$L$3:$L$1000=L$2)*(Input!$O$3:$O$1000=$B18)*(Input!$S$3:$S$1000))</f>
        <v>0</v>
      </c>
      <c r="M18" s="14">
        <f ca="1">SUMPRODUCT((Input!$L$3:$L$1000=M$2)*(Input!$O$3:$O$1000=$B18)*(Input!$S$3:$S$1000))</f>
        <v>0</v>
      </c>
      <c r="N18" s="14">
        <f ca="1">SUMPRODUCT((Input!$L$3:$L$1000=N$2)*(Input!$O$3:$O$1000=$B18)*(Input!$S$3:$S$1000))</f>
        <v>0</v>
      </c>
      <c r="O18" s="14">
        <f ca="1">SUMPRODUCT((Input!$L$3:$L$1000=O$2)*(Input!$O$3:$O$1000=$B18)*(Input!$S$3:$S$1000))</f>
        <v>0</v>
      </c>
      <c r="P18" s="14"/>
    </row>
    <row r="19" spans="1:16" x14ac:dyDescent="0.2">
      <c r="A19" s="12">
        <f t="shared" ca="1" si="0"/>
        <v>16</v>
      </c>
      <c r="B19" s="13" t="s">
        <v>21</v>
      </c>
      <c r="C19" s="14">
        <f t="array" aca="1" ref="C19" ca="1">SUM(LARGE(E19:P19,{1,2,3,4,5,6}))</f>
        <v>90</v>
      </c>
      <c r="D19" s="14">
        <f t="shared" ca="1" si="1"/>
        <v>2</v>
      </c>
      <c r="E19" s="14">
        <f ca="1">SUMPRODUCT((Input!$L$3:$L$1000=E$2)*(Input!$O$3:$O$1000=$B19)*(Input!$S$3:$S$1000))</f>
        <v>0</v>
      </c>
      <c r="F19" s="14">
        <f ca="1">SUMPRODUCT((Input!$L$3:$L$1000=F$2)*(Input!$O$3:$O$1000=$B19)*(Input!$S$3:$S$1000))</f>
        <v>0</v>
      </c>
      <c r="G19" s="14">
        <f ca="1">SUMPRODUCT((Input!$L$3:$L$1000=G$2)*(Input!$O$3:$O$1000=$B19)*(Input!$S$3:$S$1000))</f>
        <v>41</v>
      </c>
      <c r="H19" s="14">
        <f ca="1">SUMPRODUCT((Input!$L$3:$L$1000=H$2)*(Input!$O$3:$O$1000=$B19)*(Input!$S$3:$S$1000))</f>
        <v>0</v>
      </c>
      <c r="I19" s="14">
        <f ca="1">SUMPRODUCT((Input!$L$3:$L$1000=I$2)*(Input!$O$3:$O$1000=$B19)*(Input!$S$3:$S$1000))</f>
        <v>0</v>
      </c>
      <c r="J19" s="14">
        <f ca="1">SUMPRODUCT((Input!$L$3:$L$1000=J$2)*(Input!$O$3:$O$1000=$B19)*(Input!$S$3:$S$1000))</f>
        <v>49</v>
      </c>
      <c r="K19" s="14">
        <f ca="1">SUMPRODUCT((Input!$L$3:$L$1000=K$2)*(Input!$O$3:$O$1000=$B19)*(Input!$S$3:$S$1000))</f>
        <v>0</v>
      </c>
      <c r="L19" s="14">
        <f ca="1">SUMPRODUCT((Input!$L$3:$L$1000=L$2)*(Input!$O$3:$O$1000=$B19)*(Input!$S$3:$S$1000))</f>
        <v>0</v>
      </c>
      <c r="M19" s="14">
        <f ca="1">SUMPRODUCT((Input!$L$3:$L$1000=M$2)*(Input!$O$3:$O$1000=$B19)*(Input!$S$3:$S$1000))</f>
        <v>0</v>
      </c>
      <c r="N19" s="14">
        <f ca="1">SUMPRODUCT((Input!$L$3:$L$1000=N$2)*(Input!$O$3:$O$1000=$B19)*(Input!$S$3:$S$1000))</f>
        <v>0</v>
      </c>
      <c r="O19" s="14">
        <f ca="1">SUMPRODUCT((Input!$L$3:$L$1000=O$2)*(Input!$O$3:$O$1000=$B19)*(Input!$S$3:$S$1000))</f>
        <v>0</v>
      </c>
      <c r="P19" s="14"/>
    </row>
    <row r="20" spans="1:16" x14ac:dyDescent="0.2">
      <c r="A20" s="12">
        <f t="shared" ca="1" si="0"/>
        <v>17</v>
      </c>
      <c r="B20" s="13" t="s">
        <v>22</v>
      </c>
      <c r="C20" s="14">
        <f t="array" aca="1" ref="C20" ca="1">SUM(LARGE(E20:P20,{1,2,3,4,5,6}))</f>
        <v>58</v>
      </c>
      <c r="D20" s="14">
        <f t="shared" ca="1" si="1"/>
        <v>1</v>
      </c>
      <c r="E20" s="14">
        <f ca="1">SUMPRODUCT((Input!$L$3:$L$1000=E$2)*(Input!$O$3:$O$1000=$B20)*(Input!$S$3:$S$1000))</f>
        <v>0</v>
      </c>
      <c r="F20" s="14">
        <f ca="1">SUMPRODUCT((Input!$L$3:$L$1000=F$2)*(Input!$O$3:$O$1000=$B20)*(Input!$S$3:$S$1000))</f>
        <v>0</v>
      </c>
      <c r="G20" s="14">
        <f ca="1">SUMPRODUCT((Input!$L$3:$L$1000=G$2)*(Input!$O$3:$O$1000=$B20)*(Input!$S$3:$S$1000))</f>
        <v>0</v>
      </c>
      <c r="H20" s="14">
        <f ca="1">SUMPRODUCT((Input!$L$3:$L$1000=H$2)*(Input!$O$3:$O$1000=$B20)*(Input!$S$3:$S$1000))</f>
        <v>0</v>
      </c>
      <c r="I20" s="14">
        <f ca="1">SUMPRODUCT((Input!$L$3:$L$1000=I$2)*(Input!$O$3:$O$1000=$B20)*(Input!$S$3:$S$1000))</f>
        <v>0</v>
      </c>
      <c r="J20" s="14">
        <f ca="1">SUMPRODUCT((Input!$L$3:$L$1000=J$2)*(Input!$O$3:$O$1000=$B20)*(Input!$S$3:$S$1000))</f>
        <v>58</v>
      </c>
      <c r="K20" s="14">
        <f ca="1">SUMPRODUCT((Input!$L$3:$L$1000=K$2)*(Input!$O$3:$O$1000=$B20)*(Input!$S$3:$S$1000))</f>
        <v>0</v>
      </c>
      <c r="L20" s="14">
        <f ca="1">SUMPRODUCT((Input!$L$3:$L$1000=L$2)*(Input!$O$3:$O$1000=$B20)*(Input!$S$3:$S$1000))</f>
        <v>0</v>
      </c>
      <c r="M20" s="14">
        <f ca="1">SUMPRODUCT((Input!$L$3:$L$1000=M$2)*(Input!$O$3:$O$1000=$B20)*(Input!$S$3:$S$1000))</f>
        <v>0</v>
      </c>
      <c r="N20" s="14">
        <f ca="1">SUMPRODUCT((Input!$L$3:$L$1000=N$2)*(Input!$O$3:$O$1000=$B20)*(Input!$S$3:$S$1000))</f>
        <v>0</v>
      </c>
      <c r="O20" s="14">
        <f ca="1">SUMPRODUCT((Input!$L$3:$L$1000=O$2)*(Input!$O$3:$O$1000=$B20)*(Input!$S$3:$S$1000))</f>
        <v>0</v>
      </c>
      <c r="P20" s="14"/>
    </row>
    <row r="21" spans="1:16" x14ac:dyDescent="0.2">
      <c r="A21" s="12">
        <f t="shared" ca="1" si="0"/>
        <v>18</v>
      </c>
      <c r="B21" s="13" t="s">
        <v>23</v>
      </c>
      <c r="C21" s="14">
        <f t="array" aca="1" ref="C21" ca="1">SUM(LARGE(E21:P21,{1,2,3,4,5,6}))</f>
        <v>56</v>
      </c>
      <c r="D21" s="14">
        <f t="shared" ca="1" si="1"/>
        <v>1</v>
      </c>
      <c r="E21" s="14">
        <f ca="1">SUMPRODUCT((Input!$L$3:$L$1000=E$2)*(Input!$O$3:$O$1000=$B21)*(Input!$S$3:$S$1000))</f>
        <v>0</v>
      </c>
      <c r="F21" s="14">
        <f ca="1">SUMPRODUCT((Input!$L$3:$L$1000=F$2)*(Input!$O$3:$O$1000=$B21)*(Input!$S$3:$S$1000))</f>
        <v>0</v>
      </c>
      <c r="G21" s="14">
        <f ca="1">SUMPRODUCT((Input!$L$3:$L$1000=G$2)*(Input!$O$3:$O$1000=$B21)*(Input!$S$3:$S$1000))</f>
        <v>56</v>
      </c>
      <c r="H21" s="14">
        <f ca="1">SUMPRODUCT((Input!$L$3:$L$1000=H$2)*(Input!$O$3:$O$1000=$B21)*(Input!$S$3:$S$1000))</f>
        <v>0</v>
      </c>
      <c r="I21" s="14">
        <f ca="1">SUMPRODUCT((Input!$L$3:$L$1000=I$2)*(Input!$O$3:$O$1000=$B21)*(Input!$S$3:$S$1000))</f>
        <v>0</v>
      </c>
      <c r="J21" s="14">
        <f ca="1">SUMPRODUCT((Input!$L$3:$L$1000=J$2)*(Input!$O$3:$O$1000=$B21)*(Input!$S$3:$S$1000))</f>
        <v>0</v>
      </c>
      <c r="K21" s="14">
        <f ca="1">SUMPRODUCT((Input!$L$3:$L$1000=K$2)*(Input!$O$3:$O$1000=$B21)*(Input!$S$3:$S$1000))</f>
        <v>0</v>
      </c>
      <c r="L21" s="14">
        <f ca="1">SUMPRODUCT((Input!$L$3:$L$1000=L$2)*(Input!$O$3:$O$1000=$B21)*(Input!$S$3:$S$1000))</f>
        <v>0</v>
      </c>
      <c r="M21" s="14">
        <f ca="1">SUMPRODUCT((Input!$L$3:$L$1000=M$2)*(Input!$O$3:$O$1000=$B21)*(Input!$S$3:$S$1000))</f>
        <v>0</v>
      </c>
      <c r="N21" s="14">
        <f ca="1">SUMPRODUCT((Input!$L$3:$L$1000=N$2)*(Input!$O$3:$O$1000=$B21)*(Input!$S$3:$S$1000))</f>
        <v>0</v>
      </c>
      <c r="O21" s="14">
        <f ca="1">SUMPRODUCT((Input!$L$3:$L$1000=O$2)*(Input!$O$3:$O$1000=$B21)*(Input!$S$3:$S$1000))</f>
        <v>0</v>
      </c>
      <c r="P21" s="14"/>
    </row>
    <row r="22" spans="1:16" x14ac:dyDescent="0.2">
      <c r="A22" s="12">
        <f t="shared" ca="1" si="0"/>
        <v>19</v>
      </c>
      <c r="B22" s="13" t="s">
        <v>24</v>
      </c>
      <c r="C22" s="14">
        <f t="array" aca="1" ref="C22" ca="1">SUM(LARGE(E22:P22,{1,2,3,4,5,6}))</f>
        <v>55</v>
      </c>
      <c r="D22" s="14">
        <f t="shared" ca="1" si="1"/>
        <v>1</v>
      </c>
      <c r="E22" s="14">
        <f ca="1">SUMPRODUCT((Input!$L$3:$L$1000=E$2)*(Input!$O$3:$O$1000=$B22)*(Input!$S$3:$S$1000))</f>
        <v>0</v>
      </c>
      <c r="F22" s="14">
        <f ca="1">SUMPRODUCT((Input!$L$3:$L$1000=F$2)*(Input!$O$3:$O$1000=$B22)*(Input!$S$3:$S$1000))</f>
        <v>0</v>
      </c>
      <c r="G22" s="14">
        <f ca="1">SUMPRODUCT((Input!$L$3:$L$1000=G$2)*(Input!$O$3:$O$1000=$B22)*(Input!$S$3:$S$1000))</f>
        <v>0</v>
      </c>
      <c r="H22" s="14">
        <f ca="1">SUMPRODUCT((Input!$L$3:$L$1000=H$2)*(Input!$O$3:$O$1000=$B22)*(Input!$S$3:$S$1000))</f>
        <v>0</v>
      </c>
      <c r="I22" s="14">
        <f ca="1">SUMPRODUCT((Input!$L$3:$L$1000=I$2)*(Input!$O$3:$O$1000=$B22)*(Input!$S$3:$S$1000))</f>
        <v>0</v>
      </c>
      <c r="J22" s="14">
        <f ca="1">SUMPRODUCT((Input!$L$3:$L$1000=J$2)*(Input!$O$3:$O$1000=$B22)*(Input!$S$3:$S$1000))</f>
        <v>0</v>
      </c>
      <c r="K22" s="14">
        <f ca="1">SUMPRODUCT((Input!$L$3:$L$1000=K$2)*(Input!$O$3:$O$1000=$B22)*(Input!$S$3:$S$1000))</f>
        <v>55</v>
      </c>
      <c r="L22" s="14">
        <f ca="1">SUMPRODUCT((Input!$L$3:$L$1000=L$2)*(Input!$O$3:$O$1000=$B22)*(Input!$S$3:$S$1000))</f>
        <v>0</v>
      </c>
      <c r="M22" s="14">
        <f ca="1">SUMPRODUCT((Input!$L$3:$L$1000=M$2)*(Input!$O$3:$O$1000=$B22)*(Input!$S$3:$S$1000))</f>
        <v>0</v>
      </c>
      <c r="N22" s="14">
        <f ca="1">SUMPRODUCT((Input!$L$3:$L$1000=N$2)*(Input!$O$3:$O$1000=$B22)*(Input!$S$3:$S$1000))</f>
        <v>0</v>
      </c>
      <c r="O22" s="14">
        <f ca="1">SUMPRODUCT((Input!$L$3:$L$1000=O$2)*(Input!$O$3:$O$1000=$B22)*(Input!$S$3:$S$1000))</f>
        <v>0</v>
      </c>
      <c r="P22" s="14"/>
    </row>
    <row r="23" spans="1:16" x14ac:dyDescent="0.2">
      <c r="A23" s="12">
        <f t="shared" ca="1" si="0"/>
        <v>20</v>
      </c>
      <c r="B23" s="13" t="s">
        <v>25</v>
      </c>
      <c r="C23" s="14">
        <f t="array" aca="1" ref="C23" ca="1">SUM(LARGE(E23:P23,{1,2,3,4,5,6}))</f>
        <v>54</v>
      </c>
      <c r="D23" s="14">
        <f t="shared" ca="1" si="1"/>
        <v>1</v>
      </c>
      <c r="E23" s="14">
        <f ca="1">SUMPRODUCT((Input!$L$3:$L$1000=E$2)*(Input!$O$3:$O$1000=$B23)*(Input!$S$3:$S$1000))</f>
        <v>0</v>
      </c>
      <c r="F23" s="14">
        <f ca="1">SUMPRODUCT((Input!$L$3:$L$1000=F$2)*(Input!$O$3:$O$1000=$B23)*(Input!$S$3:$S$1000))</f>
        <v>0</v>
      </c>
      <c r="G23" s="14">
        <f ca="1">SUMPRODUCT((Input!$L$3:$L$1000=G$2)*(Input!$O$3:$O$1000=$B23)*(Input!$S$3:$S$1000))</f>
        <v>54</v>
      </c>
      <c r="H23" s="14">
        <f ca="1">SUMPRODUCT((Input!$L$3:$L$1000=H$2)*(Input!$O$3:$O$1000=$B23)*(Input!$S$3:$S$1000))</f>
        <v>0</v>
      </c>
      <c r="I23" s="14">
        <f ca="1">SUMPRODUCT((Input!$L$3:$L$1000=I$2)*(Input!$O$3:$O$1000=$B23)*(Input!$S$3:$S$1000))</f>
        <v>0</v>
      </c>
      <c r="J23" s="14">
        <f ca="1">SUMPRODUCT((Input!$L$3:$L$1000=J$2)*(Input!$O$3:$O$1000=$B23)*(Input!$S$3:$S$1000))</f>
        <v>0</v>
      </c>
      <c r="K23" s="14">
        <f ca="1">SUMPRODUCT((Input!$L$3:$L$1000=K$2)*(Input!$O$3:$O$1000=$B23)*(Input!$S$3:$S$1000))</f>
        <v>0</v>
      </c>
      <c r="L23" s="14">
        <f ca="1">SUMPRODUCT((Input!$L$3:$L$1000=L$2)*(Input!$O$3:$O$1000=$B23)*(Input!$S$3:$S$1000))</f>
        <v>0</v>
      </c>
      <c r="M23" s="14">
        <f ca="1">SUMPRODUCT((Input!$L$3:$L$1000=M$2)*(Input!$O$3:$O$1000=$B23)*(Input!$S$3:$S$1000))</f>
        <v>0</v>
      </c>
      <c r="N23" s="14">
        <f ca="1">SUMPRODUCT((Input!$L$3:$L$1000=N$2)*(Input!$O$3:$O$1000=$B23)*(Input!$S$3:$S$1000))</f>
        <v>0</v>
      </c>
      <c r="O23" s="14">
        <f ca="1">SUMPRODUCT((Input!$L$3:$L$1000=O$2)*(Input!$O$3:$O$1000=$B23)*(Input!$S$3:$S$1000))</f>
        <v>0</v>
      </c>
      <c r="P23" s="14"/>
    </row>
    <row r="24" spans="1:16" x14ac:dyDescent="0.2">
      <c r="A24" s="12">
        <f t="shared" ca="1" si="0"/>
        <v>20</v>
      </c>
      <c r="B24" s="13" t="s">
        <v>26</v>
      </c>
      <c r="C24" s="14">
        <f t="array" aca="1" ref="C24" ca="1">SUM(LARGE(E24:P24,{1,2,3,4,5,6}))</f>
        <v>54</v>
      </c>
      <c r="D24" s="14">
        <f t="shared" ca="1" si="1"/>
        <v>1</v>
      </c>
      <c r="E24" s="14">
        <f ca="1">SUMPRODUCT((Input!$L$3:$L$1000=E$2)*(Input!$O$3:$O$1000=$B24)*(Input!$S$3:$S$1000))</f>
        <v>0</v>
      </c>
      <c r="F24" s="14">
        <f ca="1">SUMPRODUCT((Input!$L$3:$L$1000=F$2)*(Input!$O$3:$O$1000=$B24)*(Input!$S$3:$S$1000))</f>
        <v>0</v>
      </c>
      <c r="G24" s="14">
        <f ca="1">SUMPRODUCT((Input!$L$3:$L$1000=G$2)*(Input!$O$3:$O$1000=$B24)*(Input!$S$3:$S$1000))</f>
        <v>0</v>
      </c>
      <c r="H24" s="14">
        <f ca="1">SUMPRODUCT((Input!$L$3:$L$1000=H$2)*(Input!$O$3:$O$1000=$B24)*(Input!$S$3:$S$1000))</f>
        <v>0</v>
      </c>
      <c r="I24" s="14">
        <f ca="1">SUMPRODUCT((Input!$L$3:$L$1000=I$2)*(Input!$O$3:$O$1000=$B24)*(Input!$S$3:$S$1000))</f>
        <v>0</v>
      </c>
      <c r="J24" s="14">
        <f ca="1">SUMPRODUCT((Input!$L$3:$L$1000=J$2)*(Input!$O$3:$O$1000=$B24)*(Input!$S$3:$S$1000))</f>
        <v>54</v>
      </c>
      <c r="K24" s="14">
        <f ca="1">SUMPRODUCT((Input!$L$3:$L$1000=K$2)*(Input!$O$3:$O$1000=$B24)*(Input!$S$3:$S$1000))</f>
        <v>0</v>
      </c>
      <c r="L24" s="14">
        <f ca="1">SUMPRODUCT((Input!$L$3:$L$1000=L$2)*(Input!$O$3:$O$1000=$B24)*(Input!$S$3:$S$1000))</f>
        <v>0</v>
      </c>
      <c r="M24" s="14">
        <f ca="1">SUMPRODUCT((Input!$L$3:$L$1000=M$2)*(Input!$O$3:$O$1000=$B24)*(Input!$S$3:$S$1000))</f>
        <v>0</v>
      </c>
      <c r="N24" s="14">
        <f ca="1">SUMPRODUCT((Input!$L$3:$L$1000=N$2)*(Input!$O$3:$O$1000=$B24)*(Input!$S$3:$S$1000))</f>
        <v>0</v>
      </c>
      <c r="O24" s="14">
        <f ca="1">SUMPRODUCT((Input!$L$3:$L$1000=O$2)*(Input!$O$3:$O$1000=$B24)*(Input!$S$3:$S$1000))</f>
        <v>0</v>
      </c>
      <c r="P24" s="14"/>
    </row>
    <row r="25" spans="1:16" x14ac:dyDescent="0.2">
      <c r="A25" s="12">
        <f t="shared" ca="1" si="0"/>
        <v>22</v>
      </c>
      <c r="B25" s="13" t="s">
        <v>27</v>
      </c>
      <c r="C25" s="14">
        <f t="array" aca="1" ref="C25" ca="1">SUM(LARGE(E25:P25,{1,2,3,4,5,6}))</f>
        <v>50</v>
      </c>
      <c r="D25" s="14">
        <f t="shared" ca="1" si="1"/>
        <v>1</v>
      </c>
      <c r="E25" s="14">
        <f ca="1">SUMPRODUCT((Input!$L$3:$L$1000=E$2)*(Input!$O$3:$O$1000=$B25)*(Input!$S$3:$S$1000))</f>
        <v>0</v>
      </c>
      <c r="F25" s="14">
        <f ca="1">SUMPRODUCT((Input!$L$3:$L$1000=F$2)*(Input!$O$3:$O$1000=$B25)*(Input!$S$3:$S$1000))</f>
        <v>0</v>
      </c>
      <c r="G25" s="14">
        <f ca="1">SUMPRODUCT((Input!$L$3:$L$1000=G$2)*(Input!$O$3:$O$1000=$B25)*(Input!$S$3:$S$1000))</f>
        <v>0</v>
      </c>
      <c r="H25" s="14">
        <f ca="1">SUMPRODUCT((Input!$L$3:$L$1000=H$2)*(Input!$O$3:$O$1000=$B25)*(Input!$S$3:$S$1000))</f>
        <v>0</v>
      </c>
      <c r="I25" s="14">
        <f ca="1">SUMPRODUCT((Input!$L$3:$L$1000=I$2)*(Input!$O$3:$O$1000=$B25)*(Input!$S$3:$S$1000))</f>
        <v>0</v>
      </c>
      <c r="J25" s="14">
        <f ca="1">SUMPRODUCT((Input!$L$3:$L$1000=J$2)*(Input!$O$3:$O$1000=$B25)*(Input!$S$3:$S$1000))</f>
        <v>50</v>
      </c>
      <c r="K25" s="14">
        <f ca="1">SUMPRODUCT((Input!$L$3:$L$1000=K$2)*(Input!$O$3:$O$1000=$B25)*(Input!$S$3:$S$1000))</f>
        <v>0</v>
      </c>
      <c r="L25" s="14">
        <f ca="1">SUMPRODUCT((Input!$L$3:$L$1000=L$2)*(Input!$O$3:$O$1000=$B25)*(Input!$S$3:$S$1000))</f>
        <v>0</v>
      </c>
      <c r="M25" s="14">
        <f ca="1">SUMPRODUCT((Input!$L$3:$L$1000=M$2)*(Input!$O$3:$O$1000=$B25)*(Input!$S$3:$S$1000))</f>
        <v>0</v>
      </c>
      <c r="N25" s="14">
        <f ca="1">SUMPRODUCT((Input!$L$3:$L$1000=N$2)*(Input!$O$3:$O$1000=$B25)*(Input!$S$3:$S$1000))</f>
        <v>0</v>
      </c>
      <c r="O25" s="14">
        <f ca="1">SUMPRODUCT((Input!$L$3:$L$1000=O$2)*(Input!$O$3:$O$1000=$B25)*(Input!$S$3:$S$1000))</f>
        <v>0</v>
      </c>
      <c r="P25" s="14"/>
    </row>
    <row r="26" spans="1:16" x14ac:dyDescent="0.2">
      <c r="A26" s="12">
        <f t="shared" ca="1" si="0"/>
        <v>23</v>
      </c>
      <c r="B26" s="16" t="s">
        <v>28</v>
      </c>
      <c r="C26" s="14">
        <f t="array" aca="1" ref="C26" ca="1">SUM(LARGE(E26:P26,{1,2,3,4,5,6}))</f>
        <v>49</v>
      </c>
      <c r="D26" s="14">
        <f t="shared" ca="1" si="1"/>
        <v>1</v>
      </c>
      <c r="E26" s="14">
        <f ca="1">SUMPRODUCT((Input!$L$3:$L$1000=E$2)*(Input!$O$3:$O$1000=$B26)*(Input!$S$3:$S$1000))</f>
        <v>0</v>
      </c>
      <c r="F26" s="14">
        <f ca="1">SUMPRODUCT((Input!$L$3:$L$1000=F$2)*(Input!$O$3:$O$1000=$B26)*(Input!$S$3:$S$1000))</f>
        <v>0</v>
      </c>
      <c r="G26" s="14">
        <f ca="1">SUMPRODUCT((Input!$L$3:$L$1000=G$2)*(Input!$O$3:$O$1000=$B26)*(Input!$S$3:$S$1000))</f>
        <v>49</v>
      </c>
      <c r="H26" s="14">
        <f ca="1">SUMPRODUCT((Input!$L$3:$L$1000=H$2)*(Input!$O$3:$O$1000=$B26)*(Input!$S$3:$S$1000))</f>
        <v>0</v>
      </c>
      <c r="I26" s="14">
        <f ca="1">SUMPRODUCT((Input!$L$3:$L$1000=I$2)*(Input!$O$3:$O$1000=$B26)*(Input!$S$3:$S$1000))</f>
        <v>0</v>
      </c>
      <c r="J26" s="14">
        <f ca="1">SUMPRODUCT((Input!$L$3:$L$1000=J$2)*(Input!$O$3:$O$1000=$B26)*(Input!$S$3:$S$1000))</f>
        <v>0</v>
      </c>
      <c r="K26" s="14">
        <f ca="1">SUMPRODUCT((Input!$L$3:$L$1000=K$2)*(Input!$O$3:$O$1000=$B26)*(Input!$S$3:$S$1000))</f>
        <v>0</v>
      </c>
      <c r="L26" s="14">
        <f ca="1">SUMPRODUCT((Input!$L$3:$L$1000=L$2)*(Input!$O$3:$O$1000=$B26)*(Input!$S$3:$S$1000))</f>
        <v>0</v>
      </c>
      <c r="M26" s="14">
        <f ca="1">SUMPRODUCT((Input!$L$3:$L$1000=M$2)*(Input!$O$3:$O$1000=$B26)*(Input!$S$3:$S$1000))</f>
        <v>0</v>
      </c>
      <c r="N26" s="14">
        <f ca="1">SUMPRODUCT((Input!$L$3:$L$1000=N$2)*(Input!$O$3:$O$1000=$B26)*(Input!$S$3:$S$1000))</f>
        <v>0</v>
      </c>
      <c r="O26" s="14">
        <f ca="1">SUMPRODUCT((Input!$L$3:$L$1000=O$2)*(Input!$O$3:$O$1000=$B26)*(Input!$S$3:$S$1000))</f>
        <v>0</v>
      </c>
      <c r="P26" s="14"/>
    </row>
    <row r="27" spans="1:16" x14ac:dyDescent="0.2">
      <c r="A27" s="12">
        <f t="shared" ca="1" si="0"/>
        <v>24</v>
      </c>
      <c r="B27" s="13" t="s">
        <v>29</v>
      </c>
      <c r="C27" s="14">
        <f t="array" aca="1" ref="C27" ca="1">SUM(LARGE(E27:P27,{1,2,3,4,5,6}))</f>
        <v>48</v>
      </c>
      <c r="D27" s="14">
        <f t="shared" ca="1" si="1"/>
        <v>1</v>
      </c>
      <c r="E27" s="14">
        <f ca="1">SUMPRODUCT((Input!$L$3:$L$1000=E$2)*(Input!$O$3:$O$1000=$B27)*(Input!$S$3:$S$1000))</f>
        <v>0</v>
      </c>
      <c r="F27" s="14">
        <f ca="1">SUMPRODUCT((Input!$L$3:$L$1000=F$2)*(Input!$O$3:$O$1000=$B27)*(Input!$S$3:$S$1000))</f>
        <v>0</v>
      </c>
      <c r="G27" s="14">
        <f ca="1">SUMPRODUCT((Input!$L$3:$L$1000=G$2)*(Input!$O$3:$O$1000=$B27)*(Input!$S$3:$S$1000))</f>
        <v>48</v>
      </c>
      <c r="H27" s="14">
        <f ca="1">SUMPRODUCT((Input!$L$3:$L$1000=H$2)*(Input!$O$3:$O$1000=$B27)*(Input!$S$3:$S$1000))</f>
        <v>0</v>
      </c>
      <c r="I27" s="14">
        <f ca="1">SUMPRODUCT((Input!$L$3:$L$1000=I$2)*(Input!$O$3:$O$1000=$B27)*(Input!$S$3:$S$1000))</f>
        <v>0</v>
      </c>
      <c r="J27" s="14">
        <f ca="1">SUMPRODUCT((Input!$L$3:$L$1000=J$2)*(Input!$O$3:$O$1000=$B27)*(Input!$S$3:$S$1000))</f>
        <v>0</v>
      </c>
      <c r="K27" s="14">
        <f ca="1">SUMPRODUCT((Input!$L$3:$L$1000=K$2)*(Input!$O$3:$O$1000=$B27)*(Input!$S$3:$S$1000))</f>
        <v>0</v>
      </c>
      <c r="L27" s="14">
        <f ca="1">SUMPRODUCT((Input!$L$3:$L$1000=L$2)*(Input!$O$3:$O$1000=$B27)*(Input!$S$3:$S$1000))</f>
        <v>0</v>
      </c>
      <c r="M27" s="14">
        <f ca="1">SUMPRODUCT((Input!$L$3:$L$1000=M$2)*(Input!$O$3:$O$1000=$B27)*(Input!$S$3:$S$1000))</f>
        <v>0</v>
      </c>
      <c r="N27" s="14">
        <f ca="1">SUMPRODUCT((Input!$L$3:$L$1000=N$2)*(Input!$O$3:$O$1000=$B27)*(Input!$S$3:$S$1000))</f>
        <v>0</v>
      </c>
      <c r="O27" s="14">
        <f ca="1">SUMPRODUCT((Input!$L$3:$L$1000=O$2)*(Input!$O$3:$O$1000=$B27)*(Input!$S$3:$S$1000))</f>
        <v>0</v>
      </c>
      <c r="P27" s="14"/>
    </row>
    <row r="28" spans="1:16" x14ac:dyDescent="0.2">
      <c r="A28" s="12">
        <f t="shared" ca="1" si="0"/>
        <v>25</v>
      </c>
      <c r="B28" s="13" t="s">
        <v>30</v>
      </c>
      <c r="C28" s="14">
        <f t="array" aca="1" ref="C28" ca="1">SUM(LARGE(E28:P28,{1,2,3,4,5,6}))</f>
        <v>47</v>
      </c>
      <c r="D28" s="14">
        <f t="shared" ca="1" si="1"/>
        <v>1</v>
      </c>
      <c r="E28" s="14">
        <f ca="1">SUMPRODUCT((Input!$L$3:$L$1000=E$2)*(Input!$O$3:$O$1000=$B28)*(Input!$S$3:$S$1000))</f>
        <v>0</v>
      </c>
      <c r="F28" s="14">
        <f ca="1">SUMPRODUCT((Input!$L$3:$L$1000=F$2)*(Input!$O$3:$O$1000=$B28)*(Input!$S$3:$S$1000))</f>
        <v>0</v>
      </c>
      <c r="G28" s="14">
        <f ca="1">SUMPRODUCT((Input!$L$3:$L$1000=G$2)*(Input!$O$3:$O$1000=$B28)*(Input!$S$3:$S$1000))</f>
        <v>47</v>
      </c>
      <c r="H28" s="14">
        <f ca="1">SUMPRODUCT((Input!$L$3:$L$1000=H$2)*(Input!$O$3:$O$1000=$B28)*(Input!$S$3:$S$1000))</f>
        <v>0</v>
      </c>
      <c r="I28" s="14">
        <f ca="1">SUMPRODUCT((Input!$L$3:$L$1000=I$2)*(Input!$O$3:$O$1000=$B28)*(Input!$S$3:$S$1000))</f>
        <v>0</v>
      </c>
      <c r="J28" s="14">
        <f ca="1">SUMPRODUCT((Input!$L$3:$L$1000=J$2)*(Input!$O$3:$O$1000=$B28)*(Input!$S$3:$S$1000))</f>
        <v>0</v>
      </c>
      <c r="K28" s="14">
        <f ca="1">SUMPRODUCT((Input!$L$3:$L$1000=K$2)*(Input!$O$3:$O$1000=$B28)*(Input!$S$3:$S$1000))</f>
        <v>0</v>
      </c>
      <c r="L28" s="14">
        <f ca="1">SUMPRODUCT((Input!$L$3:$L$1000=L$2)*(Input!$O$3:$O$1000=$B28)*(Input!$S$3:$S$1000))</f>
        <v>0</v>
      </c>
      <c r="M28" s="14">
        <f ca="1">SUMPRODUCT((Input!$L$3:$L$1000=M$2)*(Input!$O$3:$O$1000=$B28)*(Input!$S$3:$S$1000))</f>
        <v>0</v>
      </c>
      <c r="N28" s="14">
        <f ca="1">SUMPRODUCT((Input!$L$3:$L$1000=N$2)*(Input!$O$3:$O$1000=$B28)*(Input!$S$3:$S$1000))</f>
        <v>0</v>
      </c>
      <c r="O28" s="14">
        <f ca="1">SUMPRODUCT((Input!$L$3:$L$1000=O$2)*(Input!$O$3:$O$1000=$B28)*(Input!$S$3:$S$1000))</f>
        <v>0</v>
      </c>
      <c r="P28" s="14"/>
    </row>
    <row r="29" spans="1:16" x14ac:dyDescent="0.2">
      <c r="A29" s="12">
        <f t="shared" ca="1" si="0"/>
        <v>26</v>
      </c>
      <c r="B29" s="13" t="s">
        <v>31</v>
      </c>
      <c r="C29" s="14">
        <f t="array" aca="1" ref="C29" ca="1">SUM(LARGE(E29:P29,{1,2,3,4,5,6}))</f>
        <v>45</v>
      </c>
      <c r="D29" s="14">
        <f t="shared" ca="1" si="1"/>
        <v>1</v>
      </c>
      <c r="E29" s="14">
        <f ca="1">SUMPRODUCT((Input!$L$3:$L$1000=E$2)*(Input!$O$3:$O$1000=$B29)*(Input!$S$3:$S$1000))</f>
        <v>0</v>
      </c>
      <c r="F29" s="14">
        <f ca="1">SUMPRODUCT((Input!$L$3:$L$1000=F$2)*(Input!$O$3:$O$1000=$B29)*(Input!$S$3:$S$1000))</f>
        <v>0</v>
      </c>
      <c r="G29" s="14">
        <f ca="1">SUMPRODUCT((Input!$L$3:$L$1000=G$2)*(Input!$O$3:$O$1000=$B29)*(Input!$S$3:$S$1000))</f>
        <v>45</v>
      </c>
      <c r="H29" s="14">
        <f ca="1">SUMPRODUCT((Input!$L$3:$L$1000=H$2)*(Input!$O$3:$O$1000=$B29)*(Input!$S$3:$S$1000))</f>
        <v>0</v>
      </c>
      <c r="I29" s="14">
        <f ca="1">SUMPRODUCT((Input!$L$3:$L$1000=I$2)*(Input!$O$3:$O$1000=$B29)*(Input!$S$3:$S$1000))</f>
        <v>0</v>
      </c>
      <c r="J29" s="14">
        <f ca="1">SUMPRODUCT((Input!$L$3:$L$1000=J$2)*(Input!$O$3:$O$1000=$B29)*(Input!$S$3:$S$1000))</f>
        <v>0</v>
      </c>
      <c r="K29" s="14">
        <f ca="1">SUMPRODUCT((Input!$L$3:$L$1000=K$2)*(Input!$O$3:$O$1000=$B29)*(Input!$S$3:$S$1000))</f>
        <v>0</v>
      </c>
      <c r="L29" s="14">
        <f ca="1">SUMPRODUCT((Input!$L$3:$L$1000=L$2)*(Input!$O$3:$O$1000=$B29)*(Input!$S$3:$S$1000))</f>
        <v>0</v>
      </c>
      <c r="M29" s="14">
        <f ca="1">SUMPRODUCT((Input!$L$3:$L$1000=M$2)*(Input!$O$3:$O$1000=$B29)*(Input!$S$3:$S$1000))</f>
        <v>0</v>
      </c>
      <c r="N29" s="14">
        <f ca="1">SUMPRODUCT((Input!$L$3:$L$1000=N$2)*(Input!$O$3:$O$1000=$B29)*(Input!$S$3:$S$1000))</f>
        <v>0</v>
      </c>
      <c r="O29" s="14">
        <f ca="1">SUMPRODUCT((Input!$L$3:$L$1000=O$2)*(Input!$O$3:$O$1000=$B29)*(Input!$S$3:$S$1000))</f>
        <v>0</v>
      </c>
      <c r="P29" s="14"/>
    </row>
    <row r="30" spans="1:16" x14ac:dyDescent="0.2">
      <c r="A30" s="12">
        <f t="shared" ca="1" si="0"/>
        <v>27</v>
      </c>
      <c r="B30" s="13" t="s">
        <v>32</v>
      </c>
      <c r="C30" s="14">
        <f t="array" aca="1" ref="C30" ca="1">SUM(LARGE(E30:P30,{1,2,3,4,5,6}))</f>
        <v>42</v>
      </c>
      <c r="D30" s="14">
        <f t="shared" ca="1" si="1"/>
        <v>1</v>
      </c>
      <c r="E30" s="14">
        <f ca="1">SUMPRODUCT((Input!$L$3:$L$1000=E$2)*(Input!$O$3:$O$1000=$B30)*(Input!$S$3:$S$1000))</f>
        <v>0</v>
      </c>
      <c r="F30" s="14">
        <f ca="1">SUMPRODUCT((Input!$L$3:$L$1000=F$2)*(Input!$O$3:$O$1000=$B30)*(Input!$S$3:$S$1000))</f>
        <v>0</v>
      </c>
      <c r="G30" s="14">
        <f ca="1">SUMPRODUCT((Input!$L$3:$L$1000=G$2)*(Input!$O$3:$O$1000=$B30)*(Input!$S$3:$S$1000))</f>
        <v>42</v>
      </c>
      <c r="H30" s="14">
        <f ca="1">SUMPRODUCT((Input!$L$3:$L$1000=H$2)*(Input!$O$3:$O$1000=$B30)*(Input!$S$3:$S$1000))</f>
        <v>0</v>
      </c>
      <c r="I30" s="14">
        <f ca="1">SUMPRODUCT((Input!$L$3:$L$1000=I$2)*(Input!$O$3:$O$1000=$B30)*(Input!$S$3:$S$1000))</f>
        <v>0</v>
      </c>
      <c r="J30" s="14">
        <f ca="1">SUMPRODUCT((Input!$L$3:$L$1000=J$2)*(Input!$O$3:$O$1000=$B30)*(Input!$S$3:$S$1000))</f>
        <v>0</v>
      </c>
      <c r="K30" s="14">
        <f ca="1">SUMPRODUCT((Input!$L$3:$L$1000=K$2)*(Input!$O$3:$O$1000=$B30)*(Input!$S$3:$S$1000))</f>
        <v>0</v>
      </c>
      <c r="L30" s="14">
        <f ca="1">SUMPRODUCT((Input!$L$3:$L$1000=L$2)*(Input!$O$3:$O$1000=$B30)*(Input!$S$3:$S$1000))</f>
        <v>0</v>
      </c>
      <c r="M30" s="14">
        <f ca="1">SUMPRODUCT((Input!$L$3:$L$1000=M$2)*(Input!$O$3:$O$1000=$B30)*(Input!$S$3:$S$1000))</f>
        <v>0</v>
      </c>
      <c r="N30" s="14">
        <f ca="1">SUMPRODUCT((Input!$L$3:$L$1000=N$2)*(Input!$O$3:$O$1000=$B30)*(Input!$S$3:$S$1000))</f>
        <v>0</v>
      </c>
      <c r="O30" s="14">
        <f ca="1">SUMPRODUCT((Input!$L$3:$L$1000=O$2)*(Input!$O$3:$O$1000=$B30)*(Input!$S$3:$S$1000))</f>
        <v>0</v>
      </c>
      <c r="P30" s="14"/>
    </row>
    <row r="31" spans="1:16" x14ac:dyDescent="0.2">
      <c r="A31" s="12">
        <f t="shared" ca="1" si="0"/>
        <v>28</v>
      </c>
      <c r="B31" s="13"/>
      <c r="C31" s="14">
        <f t="array" aca="1" ref="C31" ca="1">SUM(LARGE(E31:P31,{1,2,3,4,5,6}))</f>
        <v>0</v>
      </c>
      <c r="D31" s="14">
        <f t="shared" ca="1" si="1"/>
        <v>0</v>
      </c>
      <c r="E31" s="14">
        <f ca="1">SUMPRODUCT((Input!$L$3:$L$1000=E$2)*(Input!$O$3:$O$1000=$B31)*(Input!$S$3:$S$1000))</f>
        <v>0</v>
      </c>
      <c r="F31" s="14">
        <f ca="1">SUMPRODUCT((Input!$L$3:$L$1000=F$2)*(Input!$O$3:$O$1000=$B31)*(Input!$S$3:$S$1000))</f>
        <v>0</v>
      </c>
      <c r="G31" s="14">
        <f ca="1">SUMPRODUCT((Input!$L$3:$L$1000=G$2)*(Input!$O$3:$O$1000=$B31)*(Input!$S$3:$S$1000))</f>
        <v>0</v>
      </c>
      <c r="H31" s="14">
        <f ca="1">SUMPRODUCT((Input!$L$3:$L$1000=H$2)*(Input!$O$3:$O$1000=$B31)*(Input!$S$3:$S$1000))</f>
        <v>0</v>
      </c>
      <c r="I31" s="14">
        <f ca="1">SUMPRODUCT((Input!$L$3:$L$1000=I$2)*(Input!$O$3:$O$1000=$B31)*(Input!$S$3:$S$1000))</f>
        <v>0</v>
      </c>
      <c r="J31" s="14">
        <f ca="1">SUMPRODUCT((Input!$L$3:$L$1000=J$2)*(Input!$O$3:$O$1000=$B31)*(Input!$S$3:$S$1000))</f>
        <v>0</v>
      </c>
      <c r="K31" s="14">
        <f ca="1">SUMPRODUCT((Input!$L$3:$L$1000=K$2)*(Input!$O$3:$O$1000=$B31)*(Input!$S$3:$S$1000))</f>
        <v>0</v>
      </c>
      <c r="L31" s="14">
        <f ca="1">SUMPRODUCT((Input!$L$3:$L$1000=L$2)*(Input!$O$3:$O$1000=$B31)*(Input!$S$3:$S$1000))</f>
        <v>0</v>
      </c>
      <c r="M31" s="14">
        <f ca="1">SUMPRODUCT((Input!$L$3:$L$1000=M$2)*(Input!$O$3:$O$1000=$B31)*(Input!$S$3:$S$1000))</f>
        <v>0</v>
      </c>
      <c r="N31" s="14">
        <f ca="1">SUMPRODUCT((Input!$L$3:$L$1000=N$2)*(Input!$O$3:$O$1000=$B31)*(Input!$S$3:$S$1000))</f>
        <v>0</v>
      </c>
      <c r="O31" s="14">
        <f ca="1">SUMPRODUCT((Input!$L$3:$L$1000=O$2)*(Input!$O$3:$O$1000=$B31)*(Input!$S$3:$S$1000))</f>
        <v>0</v>
      </c>
      <c r="P31" s="14"/>
    </row>
    <row r="32" spans="1:16" x14ac:dyDescent="0.2">
      <c r="A32" s="12">
        <f t="shared" ca="1" si="0"/>
        <v>28</v>
      </c>
      <c r="B32" s="13"/>
      <c r="C32" s="14">
        <f t="array" aca="1" ref="C32" ca="1">SUM(LARGE(E32:P32,{1,2,3,4,5,6}))</f>
        <v>0</v>
      </c>
      <c r="D32" s="14">
        <f t="shared" ca="1" si="1"/>
        <v>0</v>
      </c>
      <c r="E32" s="14">
        <f ca="1">SUMPRODUCT((Input!$L$3:$L$1000=E$2)*(Input!$O$3:$O$1000=$B32)*(Input!$S$3:$S$1000))</f>
        <v>0</v>
      </c>
      <c r="F32" s="14">
        <f ca="1">SUMPRODUCT((Input!$L$3:$L$1000=F$2)*(Input!$O$3:$O$1000=$B32)*(Input!$S$3:$S$1000))</f>
        <v>0</v>
      </c>
      <c r="G32" s="14">
        <f ca="1">SUMPRODUCT((Input!$L$3:$L$1000=G$2)*(Input!$O$3:$O$1000=$B32)*(Input!$S$3:$S$1000))</f>
        <v>0</v>
      </c>
      <c r="H32" s="14">
        <f ca="1">SUMPRODUCT((Input!$L$3:$L$1000=H$2)*(Input!$O$3:$O$1000=$B32)*(Input!$S$3:$S$1000))</f>
        <v>0</v>
      </c>
      <c r="I32" s="14">
        <f ca="1">SUMPRODUCT((Input!$L$3:$L$1000=I$2)*(Input!$O$3:$O$1000=$B32)*(Input!$S$3:$S$1000))</f>
        <v>0</v>
      </c>
      <c r="J32" s="14">
        <f ca="1">SUMPRODUCT((Input!$L$3:$L$1000=J$2)*(Input!$O$3:$O$1000=$B32)*(Input!$S$3:$S$1000))</f>
        <v>0</v>
      </c>
      <c r="K32" s="14">
        <f ca="1">SUMPRODUCT((Input!$L$3:$L$1000=K$2)*(Input!$O$3:$O$1000=$B32)*(Input!$S$3:$S$1000))</f>
        <v>0</v>
      </c>
      <c r="L32" s="14">
        <f ca="1">SUMPRODUCT((Input!$L$3:$L$1000=L$2)*(Input!$O$3:$O$1000=$B32)*(Input!$S$3:$S$1000))</f>
        <v>0</v>
      </c>
      <c r="M32" s="14">
        <f ca="1">SUMPRODUCT((Input!$L$3:$L$1000=M$2)*(Input!$O$3:$O$1000=$B32)*(Input!$S$3:$S$1000))</f>
        <v>0</v>
      </c>
      <c r="N32" s="14">
        <f ca="1">SUMPRODUCT((Input!$L$3:$L$1000=N$2)*(Input!$O$3:$O$1000=$B32)*(Input!$S$3:$S$1000))</f>
        <v>0</v>
      </c>
      <c r="O32" s="14">
        <f ca="1">SUMPRODUCT((Input!$L$3:$L$1000=O$2)*(Input!$O$3:$O$1000=$B32)*(Input!$S$3:$S$1000))</f>
        <v>0</v>
      </c>
      <c r="P32" s="14"/>
    </row>
    <row r="33" spans="1:16" x14ac:dyDescent="0.2">
      <c r="A33" s="12">
        <f t="shared" ca="1" si="0"/>
        <v>28</v>
      </c>
      <c r="B33" s="13"/>
      <c r="C33" s="14">
        <f t="array" aca="1" ref="C33" ca="1">SUM(LARGE(E33:P33,{1,2,3,4,5,6}))</f>
        <v>0</v>
      </c>
      <c r="D33" s="14">
        <f t="shared" ca="1" si="1"/>
        <v>0</v>
      </c>
      <c r="E33" s="14">
        <f ca="1">SUMPRODUCT((Input!$L$3:$L$1000=E$2)*(Input!$O$3:$O$1000=$B33)*(Input!$S$3:$S$1000))</f>
        <v>0</v>
      </c>
      <c r="F33" s="14">
        <f ca="1">SUMPRODUCT((Input!$L$3:$L$1000=F$2)*(Input!$O$3:$O$1000=$B33)*(Input!$S$3:$S$1000))</f>
        <v>0</v>
      </c>
      <c r="G33" s="14">
        <f ca="1">SUMPRODUCT((Input!$L$3:$L$1000=G$2)*(Input!$O$3:$O$1000=$B33)*(Input!$S$3:$S$1000))</f>
        <v>0</v>
      </c>
      <c r="H33" s="14">
        <f ca="1">SUMPRODUCT((Input!$L$3:$L$1000=H$2)*(Input!$O$3:$O$1000=$B33)*(Input!$S$3:$S$1000))</f>
        <v>0</v>
      </c>
      <c r="I33" s="14">
        <f ca="1">SUMPRODUCT((Input!$L$3:$L$1000=I$2)*(Input!$O$3:$O$1000=$B33)*(Input!$S$3:$S$1000))</f>
        <v>0</v>
      </c>
      <c r="J33" s="14">
        <f ca="1">SUMPRODUCT((Input!$L$3:$L$1000=J$2)*(Input!$O$3:$O$1000=$B33)*(Input!$S$3:$S$1000))</f>
        <v>0</v>
      </c>
      <c r="K33" s="14">
        <f ca="1">SUMPRODUCT((Input!$L$3:$L$1000=K$2)*(Input!$O$3:$O$1000=$B33)*(Input!$S$3:$S$1000))</f>
        <v>0</v>
      </c>
      <c r="L33" s="14">
        <f ca="1">SUMPRODUCT((Input!$L$3:$L$1000=L$2)*(Input!$O$3:$O$1000=$B33)*(Input!$S$3:$S$1000))</f>
        <v>0</v>
      </c>
      <c r="M33" s="14">
        <f ca="1">SUMPRODUCT((Input!$L$3:$L$1000=M$2)*(Input!$O$3:$O$1000=$B33)*(Input!$S$3:$S$1000))</f>
        <v>0</v>
      </c>
      <c r="N33" s="14">
        <f ca="1">SUMPRODUCT((Input!$L$3:$L$1000=N$2)*(Input!$O$3:$O$1000=$B33)*(Input!$S$3:$S$1000))</f>
        <v>0</v>
      </c>
      <c r="O33" s="14">
        <f ca="1">SUMPRODUCT((Input!$L$3:$L$1000=O$2)*(Input!$O$3:$O$1000=$B33)*(Input!$S$3:$S$1000))</f>
        <v>0</v>
      </c>
      <c r="P33" s="14"/>
    </row>
    <row r="34" spans="1:16" x14ac:dyDescent="0.2">
      <c r="A34" s="12">
        <f t="shared" ca="1" si="0"/>
        <v>28</v>
      </c>
      <c r="B34" s="13"/>
      <c r="C34" s="14">
        <f t="array" aca="1" ref="C34" ca="1">SUM(LARGE(E34:P34,{1,2,3,4,5,6}))</f>
        <v>0</v>
      </c>
      <c r="D34" s="14">
        <f t="shared" ca="1" si="1"/>
        <v>0</v>
      </c>
      <c r="E34" s="14">
        <f ca="1">SUMPRODUCT((Input!$L$3:$L$1000=E$2)*(Input!$O$3:$O$1000=$B34)*(Input!$S$3:$S$1000))</f>
        <v>0</v>
      </c>
      <c r="F34" s="14">
        <f ca="1">SUMPRODUCT((Input!$L$3:$L$1000=F$2)*(Input!$O$3:$O$1000=$B34)*(Input!$S$3:$S$1000))</f>
        <v>0</v>
      </c>
      <c r="G34" s="14">
        <f ca="1">SUMPRODUCT((Input!$L$3:$L$1000=G$2)*(Input!$O$3:$O$1000=$B34)*(Input!$S$3:$S$1000))</f>
        <v>0</v>
      </c>
      <c r="H34" s="14">
        <f ca="1">SUMPRODUCT((Input!$L$3:$L$1000=H$2)*(Input!$O$3:$O$1000=$B34)*(Input!$S$3:$S$1000))</f>
        <v>0</v>
      </c>
      <c r="I34" s="14">
        <f ca="1">SUMPRODUCT((Input!$L$3:$L$1000=I$2)*(Input!$O$3:$O$1000=$B34)*(Input!$S$3:$S$1000))</f>
        <v>0</v>
      </c>
      <c r="J34" s="14">
        <f ca="1">SUMPRODUCT((Input!$L$3:$L$1000=J$2)*(Input!$O$3:$O$1000=$B34)*(Input!$S$3:$S$1000))</f>
        <v>0</v>
      </c>
      <c r="K34" s="14">
        <f ca="1">SUMPRODUCT((Input!$L$3:$L$1000=K$2)*(Input!$O$3:$O$1000=$B34)*(Input!$S$3:$S$1000))</f>
        <v>0</v>
      </c>
      <c r="L34" s="14">
        <f ca="1">SUMPRODUCT((Input!$L$3:$L$1000=L$2)*(Input!$O$3:$O$1000=$B34)*(Input!$S$3:$S$1000))</f>
        <v>0</v>
      </c>
      <c r="M34" s="14">
        <f ca="1">SUMPRODUCT((Input!$L$3:$L$1000=M$2)*(Input!$O$3:$O$1000=$B34)*(Input!$S$3:$S$1000))</f>
        <v>0</v>
      </c>
      <c r="N34" s="14">
        <f ca="1">SUMPRODUCT((Input!$L$3:$L$1000=N$2)*(Input!$O$3:$O$1000=$B34)*(Input!$S$3:$S$1000))</f>
        <v>0</v>
      </c>
      <c r="O34" s="14">
        <f ca="1">SUMPRODUCT((Input!$L$3:$L$1000=O$2)*(Input!$O$3:$O$1000=$B34)*(Input!$S$3:$S$1000))</f>
        <v>0</v>
      </c>
      <c r="P34" s="14"/>
    </row>
  </sheetData>
  <conditionalFormatting sqref="C4:P34">
    <cfRule type="cellIs" dxfId="20" priority="1" operator="equal">
      <formula>0</formula>
    </cfRule>
  </conditionalFormatting>
  <conditionalFormatting sqref="E4:P34">
    <cfRule type="expression" dxfId="19" priority="2">
      <formula>AND($D4&gt;$C$1,RANK(VALUE(E4),$E4:$O4)+COUNTIF($E4:E4,E4)-1&lt;=$C$1)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L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4.4257812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45765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25</v>
      </c>
    </row>
    <row r="2" spans="1:12" ht="18" x14ac:dyDescent="0.25">
      <c r="A2" s="47" t="s">
        <v>70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David Pennington</v>
      </c>
      <c r="C4" s="14" t="str">
        <f t="shared" ref="C4:C7" ca="1" si="0">IF(B4="","","SW")</f>
        <v>SW</v>
      </c>
      <c r="D4" s="14" t="str">
        <f t="array" aca="1" ref="D4" ca="1">IFERROR(INDEX(Input!$P:$P,MATCH(CONCATENATE($A$1,"_Sunday League_",$L$1,"_",$A4),Input!$I:$I,0)),"")</f>
        <v>Senior</v>
      </c>
      <c r="E4" s="34">
        <f t="array" aca="1" ref="E4" ca="1">IFERROR(INDEX(Input!$Q:$Q,MATCH(CONCATENATE($A$1,"_Sunday League_",$L$1,"_",$A4),Input!$I:$I,0)),"")</f>
        <v>3.8993055555555503E-2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2.9815000000000001E-2</v>
      </c>
      <c r="H4" s="14">
        <f t="array" aca="1" ref="H4" ca="1">IFERROR(INDEX(Input!$U:$U,MATCH(CONCATENATE($A$1,"_Sunday League_",$L$1,"_",$A4),Input!$I:$I,0)),"")</f>
        <v>1</v>
      </c>
      <c r="I4" s="14" t="str">
        <f t="array" aca="1" ref="I4" ca="1">IF(OR($D4="Vet",$D4="Woman Vet"),INDEX(Input!$W:$W,MATCH(CONCATENATE($A$1,"_Sunday League_",$L$1,"_",$A4),Input!$I:$I,0)),"")</f>
        <v/>
      </c>
      <c r="J4" s="14" t="str">
        <f t="array" aca="1" ref="J4" ca="1">IF(OR($D4="Vet",$D4="Woman Vet"),INDEX(Input!$X:$X,MATCH(CONCATENATE($A$1,"_Sunday League_",$L$1,"_",$A4),Input!$I:$I,0)),"")</f>
        <v/>
      </c>
      <c r="K4" s="35" t="str">
        <f t="array" aca="1" ref="K4" ca="1">IFERROR(INDEX(Input!$R:$R,MATCH(CONCATENATE($A$1,"_Sunday League_",$L$1,"_",$A4),Input!$I:$I,0)),"")</f>
        <v>CB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f t="shared" ref="A5:A7" si="1">A4+1</f>
        <v>2</v>
      </c>
      <c r="B5" s="13" t="str">
        <f t="array" aca="1" ref="B5" ca="1">IFERROR(INDEX(Input!$O:$O,MATCH(CONCATENATE($A$1,"_Sunday League_",$L$1,"_",$A5),Input!$I:$I,0)),"")</f>
        <v>Jennie Pennington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Woman Vet</v>
      </c>
      <c r="E5" s="34">
        <f t="array" aca="1" ref="E5" ca="1">IFERROR(INDEX(Input!$Q:$Q,MATCH(CONCATENATE($A$1,"_Sunday League_",$L$1,"_",$A5),Input!$I:$I,0)),"")</f>
        <v>4.7268518518518501E-2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3.0370000000000001E-2</v>
      </c>
      <c r="H5" s="14">
        <f t="array" aca="1" ref="H5" ca="1">IFERROR(INDEX(Input!$U:$U,MATCH(CONCATENATE($A$1,"_Sunday League_",$L$1,"_",$A5),Input!$I:$I,0)),"")</f>
        <v>2</v>
      </c>
      <c r="I5" s="34">
        <f t="array" aca="1" ref="I5" ca="1">IF(OR($D5="Vet",$D5="Woman Vet"),INDEX(Input!$W:$W,MATCH(CONCATENATE($A$1,"_Sunday League_",$L$1,"_",$A5),Input!$I:$I,0)),"")</f>
        <v>4.2569444444444403E-2</v>
      </c>
      <c r="J5" s="14">
        <f t="array" aca="1" ref="J5" ca="1">IF(OR($D5="Vet",$D5="Woman Vet"),INDEX(Input!$X:$X,MATCH(CONCATENATE($A$1,"_Sunday League_",$L$1,"_",$A5),Input!$I:$I,0)),"")</f>
        <v>1</v>
      </c>
      <c r="K5" s="35" t="str">
        <f t="array" aca="1" ref="K5" ca="1">IFERROR(INDEX(Input!$R:$R,MATCH(CONCATENATE($A$1,"_Sunday League_",$L$1,"_",$A5),Input!$I:$I,0)),"")</f>
        <v>CB</v>
      </c>
    </row>
    <row r="6" spans="1:12" ht="12.75" x14ac:dyDescent="0.2">
      <c r="A6" s="14">
        <f t="shared" si="1"/>
        <v>3</v>
      </c>
      <c r="B6" s="13" t="str">
        <f t="array" aca="1" ref="B6" ca="1">IFERROR(INDEX(Input!$O:$O,MATCH(CONCATENATE($A$1,"_Sunday League_",$L$1,"_",$A6),Input!$I:$I,0)),"")</f>
        <v>Andy Merchant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4.8761574074073999E-2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3.0509000000000001E-2</v>
      </c>
      <c r="H6" s="14">
        <f t="array" aca="1" ref="H6" ca="1">IFERROR(INDEX(Input!$U:$U,MATCH(CONCATENATE($A$1,"_Sunday League_",$L$1,"_",$A6),Input!$I:$I,0)),"")</f>
        <v>3</v>
      </c>
      <c r="I6" s="34">
        <f t="array" aca="1" ref="I6" ca="1">IF(OR($D6="Vet",$D6="Woman Vet"),INDEX(Input!$W:$W,MATCH(CONCATENATE($A$1,"_Sunday League_",$L$1,"_",$A6),Input!$I:$I,0)),"")</f>
        <v>4.5555555555555502E-2</v>
      </c>
      <c r="J6" s="14">
        <f t="array" aca="1" ref="J6" ca="1">IF(OR($D6="Vet",$D6="Woman Vet"),INDEX(Input!$X:$X,MATCH(CONCATENATE($A$1,"_Sunday League_",$L$1,"_",$A6),Input!$I:$I,0)),"")</f>
        <v>2</v>
      </c>
      <c r="K6" s="35" t="str">
        <f t="array" aca="1" ref="K6" ca="1">IFERROR(INDEX(Input!$R:$R,MATCH(CONCATENATE($A$1,"_Sunday League_",$L$1,"_",$A6),Input!$I:$I,0)),"")</f>
        <v>First E6 25 mile TT</v>
      </c>
    </row>
    <row r="7" spans="1:12" ht="12.75" x14ac:dyDescent="0.2">
      <c r="A7" s="14">
        <f t="shared" si="1"/>
        <v>4</v>
      </c>
      <c r="B7" s="13" t="str">
        <f t="array" aca="1" ref="B7" ca="1">IFERROR(INDEX(Input!$O:$O,MATCH(CONCATENATE($A$1,"_Sunday League_",$L$1,"_",$A7),Input!$I:$I,0)),"")</f>
        <v>Paul Gribbon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4.9305555555555498E-2</v>
      </c>
      <c r="F7" s="14" t="str">
        <f t="array" aca="1" ref="F7" ca="1">IFERROR(INDEX(Input!$AF:$AF,MATCH(CONCATENATE($A$1,"_Sunday League_",$L$1,"_",$A7),Input!$I:$I,0)),"")</f>
        <v/>
      </c>
      <c r="G7" s="34">
        <f t="array" aca="1" ref="G7" ca="1">IFERROR(INDEX(Input!$T:$T,MATCH(CONCATENATE($A$1,"_Sunday League_",$L$1,"_",$A7),Input!$I:$I,0)),"")</f>
        <v>3.3576000000000002E-2</v>
      </c>
      <c r="H7" s="14">
        <f t="array" aca="1" ref="H7" ca="1">IFERROR(INDEX(Input!$U:$U,MATCH(CONCATENATE($A$1,"_Sunday League_",$L$1,"_",$A7),Input!$I:$I,0)),"")</f>
        <v>4</v>
      </c>
      <c r="I7" s="34">
        <f t="array" aca="1" ref="I7" ca="1">IF(OR($D7="Vet",$D7="Woman Vet"),INDEX(Input!$W:$W,MATCH(CONCATENATE($A$1,"_Sunday League_",$L$1,"_",$A7),Input!$I:$I,0)),"")</f>
        <v>4.7453703703703699E-2</v>
      </c>
      <c r="J7" s="14">
        <f t="array" aca="1" ref="J7" ca="1">IF(OR($D7="Vet",$D7="Woman Vet"),INDEX(Input!$X:$X,MATCH(CONCATENATE($A$1,"_Sunday League_",$L$1,"_",$A7),Input!$I:$I,0)),"")</f>
        <v>3</v>
      </c>
      <c r="K7" s="35" t="str">
        <f t="array" aca="1" ref="K7" ca="1">IFERROR(INDEX(Input!$R:$R,MATCH(CONCATENATE($A$1,"_Sunday League_",$L$1,"_",$A7),Input!$I:$I,0)),"")</f>
        <v>First E6 25 mile TT</v>
      </c>
    </row>
    <row r="8" spans="1:12" ht="12.75" x14ac:dyDescent="0.2">
      <c r="A8" s="14"/>
      <c r="B8" s="13"/>
      <c r="C8" s="14"/>
      <c r="D8" s="14"/>
      <c r="E8" s="34"/>
      <c r="F8" s="34"/>
      <c r="G8" s="34"/>
      <c r="H8" s="14"/>
      <c r="I8" s="14"/>
      <c r="J8" s="14"/>
      <c r="K8" s="35"/>
    </row>
    <row r="9" spans="1:12" ht="12.75" x14ac:dyDescent="0.2">
      <c r="A9" s="14"/>
      <c r="B9" s="37" t="s">
        <v>58</v>
      </c>
      <c r="C9" s="14"/>
      <c r="D9" s="14"/>
      <c r="E9" s="34"/>
      <c r="F9" s="34"/>
      <c r="G9" s="34"/>
      <c r="H9" s="14"/>
      <c r="I9" s="14"/>
      <c r="J9" s="14"/>
      <c r="K9" s="35"/>
    </row>
    <row r="10" spans="1:12" ht="12.75" x14ac:dyDescent="0.2">
      <c r="A10" s="14"/>
      <c r="B10" s="13" t="s">
        <v>71</v>
      </c>
      <c r="C10" s="48" t="s">
        <v>72</v>
      </c>
      <c r="D10" s="49"/>
      <c r="E10" s="34">
        <v>3.7326388888888888E-2</v>
      </c>
      <c r="F10" s="34"/>
      <c r="G10" s="34"/>
      <c r="H10" s="14"/>
      <c r="I10" s="14"/>
      <c r="J10" s="14"/>
      <c r="K10" s="35" t="s">
        <v>61</v>
      </c>
    </row>
    <row r="11" spans="1:12" ht="12.75" x14ac:dyDescent="0.2">
      <c r="A11" s="14"/>
      <c r="B11" s="38" t="s">
        <v>73</v>
      </c>
      <c r="C11" s="48" t="s">
        <v>74</v>
      </c>
      <c r="D11" s="49"/>
      <c r="E11" s="34">
        <v>4.1354166666666664E-2</v>
      </c>
      <c r="F11" s="34"/>
      <c r="G11" s="34"/>
      <c r="H11" s="14"/>
      <c r="I11" s="14"/>
      <c r="J11" s="14"/>
      <c r="K11" s="35" t="s">
        <v>67</v>
      </c>
    </row>
    <row r="12" spans="1:12" ht="12.75" x14ac:dyDescent="0.2">
      <c r="A12" s="14"/>
      <c r="B12" s="13" t="s">
        <v>75</v>
      </c>
      <c r="C12" s="48" t="s">
        <v>76</v>
      </c>
      <c r="D12" s="49"/>
      <c r="E12" s="34">
        <v>4.2500000000000003E-2</v>
      </c>
      <c r="F12" s="34"/>
      <c r="G12" s="34"/>
      <c r="H12" s="14"/>
      <c r="I12" s="14"/>
      <c r="J12" s="14"/>
      <c r="K12" s="35" t="s">
        <v>64</v>
      </c>
    </row>
    <row r="13" spans="1:12" ht="12.75" x14ac:dyDescent="0.2">
      <c r="A13" s="14"/>
      <c r="B13" s="13" t="s">
        <v>77</v>
      </c>
      <c r="C13" s="48" t="s">
        <v>78</v>
      </c>
      <c r="D13" s="49"/>
      <c r="E13" s="34">
        <v>4.3298611111111114E-2</v>
      </c>
      <c r="F13" s="34"/>
      <c r="G13" s="34"/>
      <c r="H13" s="14"/>
      <c r="I13" s="14"/>
      <c r="J13" s="14"/>
      <c r="K13" s="35"/>
    </row>
    <row r="14" spans="1:12" ht="12.75" x14ac:dyDescent="0.2">
      <c r="A14" s="14"/>
      <c r="B14" s="13" t="s">
        <v>79</v>
      </c>
      <c r="C14" s="48" t="s">
        <v>80</v>
      </c>
      <c r="D14" s="49"/>
      <c r="E14" s="34">
        <v>4.8136574074074075E-2</v>
      </c>
      <c r="F14" s="34"/>
      <c r="G14" s="34"/>
      <c r="H14" s="14"/>
      <c r="I14" s="14"/>
      <c r="J14" s="14"/>
      <c r="K14" s="35" t="s">
        <v>69</v>
      </c>
    </row>
    <row r="15" spans="1:12" ht="12.75" x14ac:dyDescent="0.2">
      <c r="A15" s="14"/>
      <c r="B15" s="13"/>
      <c r="C15" s="14"/>
      <c r="D15" s="14"/>
      <c r="E15" s="34"/>
      <c r="F15" s="34"/>
      <c r="G15" s="34"/>
      <c r="H15" s="14"/>
      <c r="I15" s="14"/>
      <c r="J15" s="14"/>
      <c r="K15" s="35"/>
    </row>
    <row r="16" spans="1:12" ht="12.75" x14ac:dyDescent="0.2">
      <c r="A16" s="14"/>
      <c r="B16" s="13"/>
      <c r="C16" s="14"/>
      <c r="D16" s="14"/>
      <c r="E16" s="34"/>
      <c r="F16" s="34"/>
      <c r="G16" s="34"/>
      <c r="H16" s="14"/>
      <c r="I16" s="14"/>
      <c r="J16" s="14"/>
      <c r="K16" s="35"/>
    </row>
    <row r="17" spans="1:11" ht="12.75" x14ac:dyDescent="0.2">
      <c r="A17" s="14"/>
      <c r="B17" s="13"/>
      <c r="C17" s="14"/>
      <c r="D17" s="14"/>
      <c r="E17" s="34"/>
      <c r="F17" s="34"/>
      <c r="G17" s="34"/>
      <c r="H17" s="14"/>
      <c r="I17" s="14"/>
      <c r="J17" s="14"/>
      <c r="K17" s="35"/>
    </row>
    <row r="18" spans="1:11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13"/>
      <c r="C22" s="14"/>
      <c r="D22" s="14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7">
    <mergeCell ref="C13:D13"/>
    <mergeCell ref="C14:D14"/>
    <mergeCell ref="A1:K1"/>
    <mergeCell ref="A2:K2"/>
    <mergeCell ref="C10:D10"/>
    <mergeCell ref="C11:D11"/>
    <mergeCell ref="C12:D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L5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3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45768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10</v>
      </c>
    </row>
    <row r="2" spans="1:12" ht="18" x14ac:dyDescent="0.25">
      <c r="A2" s="47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Marc Brant</v>
      </c>
      <c r="C4" s="14" t="str">
        <f t="shared" ref="C4:C23" ca="1" si="0">IF(B4="","","SW")</f>
        <v>SW</v>
      </c>
      <c r="D4" s="14" t="str">
        <f t="array" aca="1" ref="D4" ca="1">IFERROR(INDEX(Input!$P:$P,MATCH(CONCATENATE($A$1,"_Sunday League_",$L$1,"_",$A4),Input!$I:$I,0)),"")</f>
        <v>Vet</v>
      </c>
      <c r="E4" s="34">
        <f t="array" aca="1" ref="E4" ca="1">IFERROR(INDEX(Input!$Q:$Q,MATCH(CONCATENATE($A$1,"_Sunday League_",$L$1,"_",$A4),Input!$I:$I,0)),"")</f>
        <v>1.6655092592592499E-2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1.1469999999999999E-2</v>
      </c>
      <c r="H4" s="14">
        <f t="array" aca="1" ref="H4" ca="1">IFERROR(INDEX(Input!$U:$U,MATCH(CONCATENATE($A$1,"_Sunday League_",$L$1,"_",$A4),Input!$I:$I,0)),"")</f>
        <v>1</v>
      </c>
      <c r="I4" s="34">
        <f t="array" aca="1" ref="I4" ca="1">IF(OR($D4="Vet",$D4="Woman Vet"),INDEX(Input!$W:$W,MATCH(CONCATENATE($A$1,"_Sunday League_",$L$1,"_",$A4),Input!$I:$I,0)),"")</f>
        <v>1.61111111111111E-2</v>
      </c>
      <c r="J4" s="14">
        <f t="array" aca="1" ref="J4" ca="1">IF(OR($D4="Vet",$D4="Woman Vet"),INDEX(Input!$X:$X,MATCH(CONCATENATE($A$1,"_Sunday League_",$L$1,"_",$A4),Input!$I:$I,0)),"")</f>
        <v>2</v>
      </c>
      <c r="K4" s="35" t="str">
        <f t="array" aca="1" ref="K4" ca="1">IFERROR(INDEX(Input!$R:$R,MATCH(CONCATENATE($A$1,"_Sunday League_",$L$1,"_",$A4),Input!$I:$I,0)),"")</f>
        <v>PB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f t="shared" ref="A5:A23" si="1">A4+1</f>
        <v>2</v>
      </c>
      <c r="B5" s="13" t="str">
        <f t="array" aca="1" ref="B5" ca="1">IFERROR(INDEX(Input!$O:$O,MATCH(CONCATENATE($A$1,"_Sunday League_",$L$1,"_",$A5),Input!$I:$I,0)),"")</f>
        <v>David Carey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Vet</v>
      </c>
      <c r="E5" s="34">
        <f t="array" aca="1" ref="E5" ca="1">IFERROR(INDEX(Input!$Q:$Q,MATCH(CONCATENATE($A$1,"_Sunday League_",$L$1,"_",$A5),Input!$I:$I,0)),"")</f>
        <v>1.6851851851851798E-2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1.2477E-2</v>
      </c>
      <c r="H5" s="14">
        <f t="array" aca="1" ref="H5" ca="1">IFERROR(INDEX(Input!$U:$U,MATCH(CONCATENATE($A$1,"_Sunday League_",$L$1,"_",$A5),Input!$I:$I,0)),"")</f>
        <v>11</v>
      </c>
      <c r="I5" s="34">
        <f t="array" aca="1" ref="I5" ca="1">IF(OR($D5="Vet",$D5="Woman Vet"),INDEX(Input!$W:$W,MATCH(CONCATENATE($A$1,"_Sunday League_",$L$1,"_",$A5),Input!$I:$I,0)),"")</f>
        <v>1.6168981481481399E-2</v>
      </c>
      <c r="J5" s="14">
        <f t="array" aca="1" ref="J5" ca="1">IF(OR($D5="Vet",$D5="Woman Vet"),INDEX(Input!$X:$X,MATCH(CONCATENATE($A$1,"_Sunday League_",$L$1,"_",$A5),Input!$I:$I,0)),"")</f>
        <v>4</v>
      </c>
      <c r="K5" s="35" t="str">
        <f t="array" aca="1" ref="K5" ca="1">IFERROR(INDEX(Input!$R:$R,MATCH(CONCATENATE($A$1,"_Sunday League_",$L$1,"_",$A5),Input!$I:$I,0)),"")</f>
        <v>CB</v>
      </c>
    </row>
    <row r="6" spans="1:12" ht="12.75" x14ac:dyDescent="0.2">
      <c r="A6" s="14">
        <f t="shared" si="1"/>
        <v>3</v>
      </c>
      <c r="B6" s="13" t="str">
        <f t="array" aca="1" ref="B6" ca="1">IFERROR(INDEX(Input!$O:$O,MATCH(CONCATENATE($A$1,"_Sunday League_",$L$1,"_",$A6),Input!$I:$I,0)),"")</f>
        <v>Philip Brant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1.7951388888888802E-2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1.2118E-2</v>
      </c>
      <c r="H6" s="14">
        <f t="array" aca="1" ref="H6" ca="1">IFERROR(INDEX(Input!$U:$U,MATCH(CONCATENATE($A$1,"_Sunday League_",$L$1,"_",$A6),Input!$I:$I,0)),"")</f>
        <v>10</v>
      </c>
      <c r="I6" s="34">
        <f t="array" aca="1" ref="I6" ca="1">IF(OR($D6="Vet",$D6="Woman Vet"),INDEX(Input!$W:$W,MATCH(CONCATENATE($A$1,"_Sunday League_",$L$1,"_",$A6),Input!$I:$I,0)),"")</f>
        <v>1.5428240740740701E-2</v>
      </c>
      <c r="J6" s="14">
        <f t="array" aca="1" ref="J6" ca="1">IF(OR($D6="Vet",$D6="Woman Vet"),INDEX(Input!$X:$X,MATCH(CONCATENATE($A$1,"_Sunday League_",$L$1,"_",$A6),Input!$I:$I,0)),"")</f>
        <v>1</v>
      </c>
      <c r="K6" s="35" t="str">
        <f t="array" aca="1" ref="K6" ca="1">IFERROR(INDEX(Input!$R:$R,MATCH(CONCATENATE($A$1,"_Sunday League_",$L$1,"_",$A6),Input!$I:$I,0)),"")</f>
        <v/>
      </c>
    </row>
    <row r="7" spans="1:12" ht="12.75" x14ac:dyDescent="0.2">
      <c r="A7" s="14">
        <f t="shared" si="1"/>
        <v>4</v>
      </c>
      <c r="B7" s="13" t="str">
        <f t="array" aca="1" ref="B7" ca="1">IFERROR(INDEX(Input!$O:$O,MATCH(CONCATENATE($A$1,"_Sunday League_",$L$1,"_",$A7),Input!$I:$I,0)),"")</f>
        <v>John-Paul Paduarno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1.8078703703703701E-2</v>
      </c>
      <c r="F7" s="14">
        <f t="array" aca="1" ref="F7" ca="1">IFERROR(INDEX(Input!$AF:$AF,MATCH(CONCATENATE($A$1,"_Sunday League_",$L$1,"_",$A7),Input!$I:$I,0)),"")</f>
        <v>1</v>
      </c>
      <c r="G7" s="34">
        <f t="array" aca="1" ref="G7" ca="1">IFERROR(INDEX(Input!$T:$T,MATCH(CONCATENATE($A$1,"_Sunday League_",$L$1,"_",$A7),Input!$I:$I,0)),"")</f>
        <v>1.2626999999999999E-2</v>
      </c>
      <c r="H7" s="14">
        <f t="array" aca="1" ref="H7" ca="1">IFERROR(INDEX(Input!$U:$U,MATCH(CONCATENATE($A$1,"_Sunday League_",$L$1,"_",$A7),Input!$I:$I,0)),"")</f>
        <v>14</v>
      </c>
      <c r="I7" s="34">
        <f t="array" aca="1" ref="I7" ca="1">IF(OR($D7="Vet",$D7="Woman Vet"),INDEX(Input!$W:$W,MATCH(CONCATENATE($A$1,"_Sunday League_",$L$1,"_",$A7),Input!$I:$I,0)),"")</f>
        <v>1.7916666666666602E-2</v>
      </c>
      <c r="J7" s="14">
        <f t="array" aca="1" ref="J7" ca="1">IF(OR($D7="Vet",$D7="Woman Vet"),INDEX(Input!$X:$X,MATCH(CONCATENATE($A$1,"_Sunday League_",$L$1,"_",$A7),Input!$I:$I,0)),"")</f>
        <v>8</v>
      </c>
      <c r="K7" s="35" t="str">
        <f t="array" aca="1" ref="K7" ca="1">IFERROR(INDEX(Input!$R:$R,MATCH(CONCATENATE($A$1,"_Sunday League_",$L$1,"_",$A7),Input!$I:$I,0)),"")</f>
        <v>Non-aero</v>
      </c>
    </row>
    <row r="8" spans="1:12" ht="12.75" x14ac:dyDescent="0.2">
      <c r="A8" s="14">
        <f t="shared" si="1"/>
        <v>5</v>
      </c>
      <c r="B8" s="13" t="str">
        <f t="array" aca="1" ref="B8" ca="1">IFERROR(INDEX(Input!$O:$O,MATCH(CONCATENATE($A$1,"_Sunday League_",$L$1,"_",$A8),Input!$I:$I,0)),"")</f>
        <v>Wilbor Morgan-Hobbs</v>
      </c>
      <c r="C8" s="14" t="str">
        <f t="shared" ca="1" si="0"/>
        <v>SW</v>
      </c>
      <c r="D8" s="14" t="str">
        <f t="array" aca="1" ref="D8" ca="1">IFERROR(INDEX(Input!$P:$P,MATCH(CONCATENATE($A$1,"_Sunday League_",$L$1,"_",$A8),Input!$I:$I,0)),"")</f>
        <v>Youth</v>
      </c>
      <c r="E8" s="34">
        <f t="array" aca="1" ref="E8" ca="1">IFERROR(INDEX(Input!$Q:$Q,MATCH(CONCATENATE($A$1,"_Sunday League_",$L$1,"_",$A8),Input!$I:$I,0)),"")</f>
        <v>1.81018518518518E-2</v>
      </c>
      <c r="F8" s="14">
        <f t="array" aca="1" ref="F8" ca="1">IFERROR(INDEX(Input!$AF:$AF,MATCH(CONCATENATE($A$1,"_Sunday League_",$L$1,"_",$A8),Input!$I:$I,0)),"")</f>
        <v>2</v>
      </c>
      <c r="G8" s="34">
        <f t="array" aca="1" ref="G8" ca="1">IFERROR(INDEX(Input!$T:$T,MATCH(CONCATENATE($A$1,"_Sunday League_",$L$1,"_",$A8),Input!$I:$I,0)),"")</f>
        <v>1.1573999999999999E-2</v>
      </c>
      <c r="H8" s="14">
        <f t="array" aca="1" ref="H8" ca="1">IFERROR(INDEX(Input!$U:$U,MATCH(CONCATENATE($A$1,"_Sunday League_",$L$1,"_",$A8),Input!$I:$I,0)),"")</f>
        <v>2</v>
      </c>
      <c r="I8" s="14" t="str">
        <f t="array" aca="1" ref="I8" ca="1">IF(OR($D8="Vet",$D8="Woman Vet"),INDEX(Input!$W:$W,MATCH(CONCATENATE($A$1,"_Sunday League_",$L$1,"_",$A8),Input!$I:$I,0)),"")</f>
        <v/>
      </c>
      <c r="J8" s="14" t="str">
        <f t="array" aca="1" ref="J8" ca="1">IF(OR($D8="Vet",$D8="Woman Vet"),INDEX(Input!$X:$X,MATCH(CONCATENATE($A$1,"_Sunday League_",$L$1,"_",$A8),Input!$I:$I,0)),"")</f>
        <v/>
      </c>
      <c r="K8" s="35" t="str">
        <f t="array" aca="1" ref="K8" ca="1">IFERROR(INDEX(Input!$R:$R,MATCH(CONCATENATE($A$1,"_Sunday League_",$L$1,"_",$A8),Input!$I:$I,0)),"")</f>
        <v>Non-aero PB</v>
      </c>
    </row>
    <row r="9" spans="1:12" ht="12.75" x14ac:dyDescent="0.2">
      <c r="A9" s="14">
        <f t="shared" si="1"/>
        <v>6</v>
      </c>
      <c r="B9" s="13" t="str">
        <f t="array" aca="1" ref="B9" ca="1">IFERROR(INDEX(Input!$O:$O,MATCH(CONCATENATE($A$1,"_Sunday League_",$L$1,"_",$A9),Input!$I:$I,0)),"")</f>
        <v>Isaac Phillips</v>
      </c>
      <c r="C9" s="14" t="str">
        <f t="shared" ca="1" si="0"/>
        <v>SW</v>
      </c>
      <c r="D9" s="14" t="str">
        <f t="array" aca="1" ref="D9" ca="1">IFERROR(INDEX(Input!$P:$P,MATCH(CONCATENATE($A$1,"_Sunday League_",$L$1,"_",$A9),Input!$I:$I,0)),"")</f>
        <v>Senior</v>
      </c>
      <c r="E9" s="34">
        <f t="array" aca="1" ref="E9" ca="1">IFERROR(INDEX(Input!$Q:$Q,MATCH(CONCATENATE($A$1,"_Sunday League_",$L$1,"_",$A9),Input!$I:$I,0)),"")</f>
        <v>1.8321759259259201E-2</v>
      </c>
      <c r="F9" s="14">
        <f t="array" aca="1" ref="F9" ca="1">IFERROR(INDEX(Input!$AF:$AF,MATCH(CONCATENATE($A$1,"_Sunday League_",$L$1,"_",$A9),Input!$I:$I,0)),"")</f>
        <v>3</v>
      </c>
      <c r="G9" s="34">
        <f t="array" aca="1" ref="G9" ca="1">IFERROR(INDEX(Input!$T:$T,MATCH(CONCATENATE($A$1,"_Sunday League_",$L$1,"_",$A9),Input!$I:$I,0)),"")</f>
        <v>1.1586000000000001E-2</v>
      </c>
      <c r="H9" s="14">
        <f t="array" aca="1" ref="H9" ca="1">IFERROR(INDEX(Input!$U:$U,MATCH(CONCATENATE($A$1,"_Sunday League_",$L$1,"_",$A9),Input!$I:$I,0)),"")</f>
        <v>3</v>
      </c>
      <c r="I9" s="14" t="str">
        <f t="array" aca="1" ref="I9" ca="1">IF(OR($D9="Vet",$D9="Woman Vet"),INDEX(Input!$W:$W,MATCH(CONCATENATE($A$1,"_Sunday League_",$L$1,"_",$A9),Input!$I:$I,0)),"")</f>
        <v/>
      </c>
      <c r="J9" s="14" t="str">
        <f t="array" aca="1" ref="J9" ca="1">IF(OR($D9="Vet",$D9="Woman Vet"),INDEX(Input!$X:$X,MATCH(CONCATENATE($A$1,"_Sunday League_",$L$1,"_",$A9),Input!$I:$I,0)),"")</f>
        <v/>
      </c>
      <c r="K9" s="35" t="str">
        <f t="array" aca="1" ref="K9" ca="1">IFERROR(INDEX(Input!$R:$R,MATCH(CONCATENATE($A$1,"_Sunday League_",$L$1,"_",$A9),Input!$I:$I,0)),"")</f>
        <v>Non-aero PB</v>
      </c>
    </row>
    <row r="10" spans="1:12" ht="12.75" x14ac:dyDescent="0.2">
      <c r="A10" s="14">
        <f t="shared" si="1"/>
        <v>7</v>
      </c>
      <c r="B10" s="13" t="str">
        <f t="array" aca="1" ref="B10" ca="1">IFERROR(INDEX(Input!$O:$O,MATCH(CONCATENATE($A$1,"_Sunday League_",$L$1,"_",$A10),Input!$I:$I,0)),"")</f>
        <v>Henry Jago</v>
      </c>
      <c r="C10" s="14" t="str">
        <f t="shared" ca="1" si="0"/>
        <v>SW</v>
      </c>
      <c r="D10" s="14" t="str">
        <f t="array" aca="1" ref="D10" ca="1">IFERROR(INDEX(Input!$P:$P,MATCH(CONCATENATE($A$1,"_Sunday League_",$L$1,"_",$A10),Input!$I:$I,0)),"")</f>
        <v>Youth</v>
      </c>
      <c r="E10" s="34">
        <f t="array" aca="1" ref="E10" ca="1">IFERROR(INDEX(Input!$Q:$Q,MATCH(CONCATENATE($A$1,"_Sunday League_",$L$1,"_",$A10),Input!$I:$I,0)),"")</f>
        <v>1.83796296296296E-2</v>
      </c>
      <c r="F10" s="14">
        <f t="array" aca="1" ref="F10" ca="1">IFERROR(INDEX(Input!$AF:$AF,MATCH(CONCATENATE($A$1,"_Sunday League_",$L$1,"_",$A10),Input!$I:$I,0)),"")</f>
        <v>4</v>
      </c>
      <c r="G10" s="34">
        <f t="array" aca="1" ref="G10" ca="1">IFERROR(INDEX(Input!$T:$T,MATCH(CONCATENATE($A$1,"_Sunday League_",$L$1,"_",$A10),Input!$I:$I,0)),"")</f>
        <v>1.2789E-2</v>
      </c>
      <c r="H10" s="14">
        <f t="array" aca="1" ref="H10" ca="1">IFERROR(INDEX(Input!$U:$U,MATCH(CONCATENATE($A$1,"_Sunday League_",$L$1,"_",$A10),Input!$I:$I,0)),"")</f>
        <v>16</v>
      </c>
      <c r="I10" s="14" t="str">
        <f t="array" aca="1" ref="I10" ca="1">IF(OR($D10="Vet",$D10="Woman Vet"),INDEX(Input!$W:$W,MATCH(CONCATENATE($A$1,"_Sunday League_",$L$1,"_",$A10),Input!$I:$I,0)),"")</f>
        <v/>
      </c>
      <c r="J10" s="14" t="str">
        <f t="array" aca="1" ref="J10" ca="1">IF(OR($D10="Vet",$D10="Woman Vet"),INDEX(Input!$X:$X,MATCH(CONCATENATE($A$1,"_Sunday League_",$L$1,"_",$A10),Input!$I:$I,0)),"")</f>
        <v/>
      </c>
      <c r="K10" s="35" t="str">
        <f t="array" aca="1" ref="K10" ca="1">IFERROR(INDEX(Input!$R:$R,MATCH(CONCATENATE($A$1,"_Sunday League_",$L$1,"_",$A10),Input!$I:$I,0)),"")</f>
        <v>Non-aero</v>
      </c>
    </row>
    <row r="11" spans="1:12" ht="12.75" x14ac:dyDescent="0.2">
      <c r="A11" s="14">
        <f t="shared" si="1"/>
        <v>8</v>
      </c>
      <c r="B11" s="13" t="str">
        <f t="array" aca="1" ref="B11" ca="1">IFERROR(INDEX(Input!$O:$O,MATCH(CONCATENATE($A$1,"_Sunday League_",$L$1,"_",$A11),Input!$I:$I,0)),"")</f>
        <v>Ben Pennington</v>
      </c>
      <c r="C11" s="14" t="str">
        <f t="shared" ca="1" si="0"/>
        <v>SW</v>
      </c>
      <c r="D11" s="14" t="str">
        <f t="array" aca="1" ref="D11" ca="1">IFERROR(INDEX(Input!$P:$P,MATCH(CONCATENATE($A$1,"_Sunday League_",$L$1,"_",$A11),Input!$I:$I,0)),"")</f>
        <v>Vet</v>
      </c>
      <c r="E11" s="34">
        <f t="array" aca="1" ref="E11" ca="1">IFERROR(INDEX(Input!$Q:$Q,MATCH(CONCATENATE($A$1,"_Sunday League_",$L$1,"_",$A11),Input!$I:$I,0)),"")</f>
        <v>1.84837962962962E-2</v>
      </c>
      <c r="F11" s="14">
        <f t="array" aca="1" ref="F11" ca="1">IFERROR(INDEX(Input!$AF:$AF,MATCH(CONCATENATE($A$1,"_Sunday League_",$L$1,"_",$A11),Input!$I:$I,0)),"")</f>
        <v>5</v>
      </c>
      <c r="G11" s="34">
        <f t="array" aca="1" ref="G11" ca="1">IFERROR(INDEX(Input!$T:$T,MATCH(CONCATENATE($A$1,"_Sunday League_",$L$1,"_",$A11),Input!$I:$I,0)),"")</f>
        <v>1.1597E-2</v>
      </c>
      <c r="H11" s="14">
        <f t="array" aca="1" ref="H11" ca="1">IFERROR(INDEX(Input!$U:$U,MATCH(CONCATENATE($A$1,"_Sunday League_",$L$1,"_",$A11),Input!$I:$I,0)),"")</f>
        <v>4</v>
      </c>
      <c r="I11" s="34">
        <f t="array" aca="1" ref="I11" ca="1">IF(OR($D11="Vet",$D11="Woman Vet"),INDEX(Input!$W:$W,MATCH(CONCATENATE($A$1,"_Sunday League_",$L$1,"_",$A11),Input!$I:$I,0)),"")</f>
        <v>1.8124999999999999E-2</v>
      </c>
      <c r="J11" s="14">
        <f t="array" aca="1" ref="J11" ca="1">IF(OR($D11="Vet",$D11="Woman Vet"),INDEX(Input!$X:$X,MATCH(CONCATENATE($A$1,"_Sunday League_",$L$1,"_",$A11),Input!$I:$I,0)),"")</f>
        <v>11</v>
      </c>
      <c r="K11" s="35" t="str">
        <f t="array" aca="1" ref="K11" ca="1">IFERROR(INDEX(Input!$R:$R,MATCH(CONCATENATE($A$1,"_Sunday League_",$L$1,"_",$A11),Input!$I:$I,0)),"")</f>
        <v>Non-aero PB</v>
      </c>
    </row>
    <row r="12" spans="1:12" ht="12.75" x14ac:dyDescent="0.2">
      <c r="A12" s="14">
        <f t="shared" si="1"/>
        <v>9</v>
      </c>
      <c r="B12" s="13" t="str">
        <f t="array" aca="1" ref="B12" ca="1">IFERROR(INDEX(Input!$O:$O,MATCH(CONCATENATE($A$1,"_Sunday League_",$L$1,"_",$A12),Input!$I:$I,0)),"")</f>
        <v>Paul Gribbon</v>
      </c>
      <c r="C12" s="14" t="str">
        <f t="shared" ca="1" si="0"/>
        <v>SW</v>
      </c>
      <c r="D12" s="14" t="str">
        <f t="array" aca="1" ref="D12" ca="1">IFERROR(INDEX(Input!$P:$P,MATCH(CONCATENATE($A$1,"_Sunday League_",$L$1,"_",$A12),Input!$I:$I,0)),"")</f>
        <v>Vet</v>
      </c>
      <c r="E12" s="34">
        <f t="array" aca="1" ref="E12" ca="1">IFERROR(INDEX(Input!$Q:$Q,MATCH(CONCATENATE($A$1,"_Sunday League_",$L$1,"_",$A12),Input!$I:$I,0)),"")</f>
        <v>1.85879629629629E-2</v>
      </c>
      <c r="F12" s="14" t="str">
        <f t="array" aca="1" ref="F12" ca="1">IFERROR(INDEX(Input!$AF:$AF,MATCH(CONCATENATE($A$1,"_Sunday League_",$L$1,"_",$A12),Input!$I:$I,0)),"")</f>
        <v/>
      </c>
      <c r="G12" s="34">
        <f t="array" aca="1" ref="G12" ca="1">IFERROR(INDEX(Input!$T:$T,MATCH(CONCATENATE($A$1,"_Sunday League_",$L$1,"_",$A12),Input!$I:$I,0)),"")</f>
        <v>1.3981E-2</v>
      </c>
      <c r="H12" s="14">
        <f t="array" aca="1" ref="H12" ca="1">IFERROR(INDEX(Input!$U:$U,MATCH(CONCATENATE($A$1,"_Sunday League_",$L$1,"_",$A12),Input!$I:$I,0)),"")</f>
        <v>19</v>
      </c>
      <c r="I12" s="34">
        <f t="array" aca="1" ref="I12" ca="1">IF(OR($D12="Vet",$D12="Woman Vet"),INDEX(Input!$W:$W,MATCH(CONCATENATE($A$1,"_Sunday League_",$L$1,"_",$A12),Input!$I:$I,0)),"")</f>
        <v>1.79050925925925E-2</v>
      </c>
      <c r="J12" s="14">
        <f t="array" aca="1" ref="J12" ca="1">IF(OR($D12="Vet",$D12="Woman Vet"),INDEX(Input!$X:$X,MATCH(CONCATENATE($A$1,"_Sunday League_",$L$1,"_",$A12),Input!$I:$I,0)),"")</f>
        <v>7</v>
      </c>
      <c r="K12" s="35" t="str">
        <f t="array" aca="1" ref="K12" ca="1">IFERROR(INDEX(Input!$R:$R,MATCH(CONCATENATE($A$1,"_Sunday League_",$L$1,"_",$A12),Input!$I:$I,0)),"")</f>
        <v/>
      </c>
    </row>
    <row r="13" spans="1:12" ht="12.75" x14ac:dyDescent="0.2">
      <c r="A13" s="14">
        <f t="shared" si="1"/>
        <v>10</v>
      </c>
      <c r="B13" s="13" t="str">
        <f t="array" aca="1" ref="B13" ca="1">IFERROR(INDEX(Input!$O:$O,MATCH(CONCATENATE($A$1,"_Sunday League_",$L$1,"_",$A13),Input!$I:$I,0)),"")</f>
        <v>Paul White</v>
      </c>
      <c r="C13" s="14" t="str">
        <f t="shared" ca="1" si="0"/>
        <v>SW</v>
      </c>
      <c r="D13" s="14" t="str">
        <f t="array" aca="1" ref="D13" ca="1">IFERROR(INDEX(Input!$P:$P,MATCH(CONCATENATE($A$1,"_Sunday League_",$L$1,"_",$A13),Input!$I:$I,0)),"")</f>
        <v>Vet</v>
      </c>
      <c r="E13" s="34">
        <f t="array" aca="1" ref="E13" ca="1">IFERROR(INDEX(Input!$Q:$Q,MATCH(CONCATENATE($A$1,"_Sunday League_",$L$1,"_",$A13),Input!$I:$I,0)),"")</f>
        <v>1.8645833333333299E-2</v>
      </c>
      <c r="F13" s="14">
        <f t="array" aca="1" ref="F13" ca="1">IFERROR(INDEX(Input!$AF:$AF,MATCH(CONCATENATE($A$1,"_Sunday League_",$L$1,"_",$A13),Input!$I:$I,0)),"")</f>
        <v>6</v>
      </c>
      <c r="G13" s="34">
        <f t="array" aca="1" ref="G13" ca="1">IFERROR(INDEX(Input!$T:$T,MATCH(CONCATENATE($A$1,"_Sunday League_",$L$1,"_",$A13),Input!$I:$I,0)),"")</f>
        <v>1.1875E-2</v>
      </c>
      <c r="H13" s="14">
        <f t="array" aca="1" ref="H13" ca="1">IFERROR(INDEX(Input!$U:$U,MATCH(CONCATENATE($A$1,"_Sunday League_",$L$1,"_",$A13),Input!$I:$I,0)),"")</f>
        <v>9</v>
      </c>
      <c r="I13" s="34">
        <f t="array" aca="1" ref="I13" ca="1">IF(OR($D13="Vet",$D13="Woman Vet"),INDEX(Input!$W:$W,MATCH(CONCATENATE($A$1,"_Sunday League_",$L$1,"_",$A13),Input!$I:$I,0)),"")</f>
        <v>1.6122685185185101E-2</v>
      </c>
      <c r="J13" s="14">
        <f t="array" aca="1" ref="J13" ca="1">IF(OR($D13="Vet",$D13="Woman Vet"),INDEX(Input!$X:$X,MATCH(CONCATENATE($A$1,"_Sunday League_",$L$1,"_",$A13),Input!$I:$I,0)),"")</f>
        <v>3</v>
      </c>
      <c r="K13" s="35" t="str">
        <f t="array" aca="1" ref="K13" ca="1">IFERROR(INDEX(Input!$R:$R,MATCH(CONCATENATE($A$1,"_Sunday League_",$L$1,"_",$A13),Input!$I:$I,0)),"")</f>
        <v>Non-aero</v>
      </c>
    </row>
    <row r="14" spans="1:12" ht="12.75" x14ac:dyDescent="0.2">
      <c r="A14" s="14">
        <f t="shared" si="1"/>
        <v>11</v>
      </c>
      <c r="B14" s="13" t="str">
        <f t="array" aca="1" ref="B14" ca="1">IFERROR(INDEX(Input!$O:$O,MATCH(CONCATENATE($A$1,"_Sunday League_",$L$1,"_",$A14),Input!$I:$I,0)),"")</f>
        <v>Andy Merchant</v>
      </c>
      <c r="C14" s="14" t="str">
        <f t="shared" ca="1" si="0"/>
        <v>SW</v>
      </c>
      <c r="D14" s="14" t="str">
        <f t="array" aca="1" ref="D14" ca="1">IFERROR(INDEX(Input!$P:$P,MATCH(CONCATENATE($A$1,"_Sunday League_",$L$1,"_",$A14),Input!$I:$I,0)),"")</f>
        <v>Vet</v>
      </c>
      <c r="E14" s="34">
        <f t="array" aca="1" ref="E14" ca="1">IFERROR(INDEX(Input!$Q:$Q,MATCH(CONCATENATE($A$1,"_Sunday League_",$L$1,"_",$A14),Input!$I:$I,0)),"")</f>
        <v>1.8715277777777699E-2</v>
      </c>
      <c r="F14" s="14" t="str">
        <f t="array" aca="1" ref="F14" ca="1">IFERROR(INDEX(Input!$AF:$AF,MATCH(CONCATENATE($A$1,"_Sunday League_",$L$1,"_",$A14),Input!$I:$I,0)),"")</f>
        <v/>
      </c>
      <c r="G14" s="34">
        <f t="array" aca="1" ref="G14" ca="1">IFERROR(INDEX(Input!$T:$T,MATCH(CONCATENATE($A$1,"_Sunday League_",$L$1,"_",$A14),Input!$I:$I,0)),"")</f>
        <v>1.4038999999999999E-2</v>
      </c>
      <c r="H14" s="14">
        <f t="array" aca="1" ref="H14" ca="1">IFERROR(INDEX(Input!$U:$U,MATCH(CONCATENATE($A$1,"_Sunday League_",$L$1,"_",$A14),Input!$I:$I,0)),"")</f>
        <v>20</v>
      </c>
      <c r="I14" s="34">
        <f t="array" aca="1" ref="I14" ca="1">IF(OR($D14="Vet",$D14="Woman Vet"),INDEX(Input!$W:$W,MATCH(CONCATENATE($A$1,"_Sunday League_",$L$1,"_",$A14),Input!$I:$I,0)),"")</f>
        <v>1.7511574074073999E-2</v>
      </c>
      <c r="J14" s="14">
        <f t="array" aca="1" ref="J14" ca="1">IF(OR($D14="Vet",$D14="Woman Vet"),INDEX(Input!$X:$X,MATCH(CONCATENATE($A$1,"_Sunday League_",$L$1,"_",$A14),Input!$I:$I,0)),"")</f>
        <v>5</v>
      </c>
      <c r="K14" s="35" t="str">
        <f t="array" aca="1" ref="K14" ca="1">IFERROR(INDEX(Input!$R:$R,MATCH(CONCATENATE($A$1,"_Sunday League_",$L$1,"_",$A14),Input!$I:$I,0)),"")</f>
        <v/>
      </c>
    </row>
    <row r="15" spans="1:12" ht="12.75" x14ac:dyDescent="0.2">
      <c r="A15" s="14">
        <f t="shared" si="1"/>
        <v>12</v>
      </c>
      <c r="B15" s="13" t="str">
        <f t="array" aca="1" ref="B15" ca="1">IFERROR(INDEX(Input!$O:$O,MATCH(CONCATENATE($A$1,"_Sunday League_",$L$1,"_",$A15),Input!$I:$I,0)),"")</f>
        <v>Dave Lobley</v>
      </c>
      <c r="C15" s="14" t="str">
        <f t="shared" ca="1" si="0"/>
        <v>SW</v>
      </c>
      <c r="D15" s="14" t="str">
        <f t="array" aca="1" ref="D15" ca="1">IFERROR(INDEX(Input!$P:$P,MATCH(CONCATENATE($A$1,"_Sunday League_",$L$1,"_",$A15),Input!$I:$I,0)),"")</f>
        <v>Vet</v>
      </c>
      <c r="E15" s="34">
        <f t="array" aca="1" ref="E15" ca="1">IFERROR(INDEX(Input!$Q:$Q,MATCH(CONCATENATE($A$1,"_Sunday League_",$L$1,"_",$A15),Input!$I:$I,0)),"")</f>
        <v>1.9513888888888799E-2</v>
      </c>
      <c r="F15" s="14">
        <f t="array" aca="1" ref="F15" ca="1">IFERROR(INDEX(Input!$AF:$AF,MATCH(CONCATENATE($A$1,"_Sunday League_",$L$1,"_",$A15),Input!$I:$I,0)),"")</f>
        <v>7</v>
      </c>
      <c r="G15" s="34">
        <f t="array" aca="1" ref="G15" ca="1">IFERROR(INDEX(Input!$T:$T,MATCH(CONCATENATE($A$1,"_Sunday League_",$L$1,"_",$A15),Input!$I:$I,0)),"")</f>
        <v>1.1667E-2</v>
      </c>
      <c r="H15" s="14">
        <f t="array" aca="1" ref="H15" ca="1">IFERROR(INDEX(Input!$U:$U,MATCH(CONCATENATE($A$1,"_Sunday League_",$L$1,"_",$A15),Input!$I:$I,0)),"")</f>
        <v>5</v>
      </c>
      <c r="I15" s="34">
        <f t="array" aca="1" ref="I15" ca="1">IF(OR($D15="Vet",$D15="Woman Vet"),INDEX(Input!$W:$W,MATCH(CONCATENATE($A$1,"_Sunday League_",$L$1,"_",$A15),Input!$I:$I,0)),"")</f>
        <v>1.78935185185185E-2</v>
      </c>
      <c r="J15" s="14">
        <f t="array" aca="1" ref="J15" ca="1">IF(OR($D15="Vet",$D15="Woman Vet"),INDEX(Input!$X:$X,MATCH(CONCATENATE($A$1,"_Sunday League_",$L$1,"_",$A15),Input!$I:$I,0)),"")</f>
        <v>6</v>
      </c>
      <c r="K15" s="35" t="str">
        <f t="array" aca="1" ref="K15" ca="1">IFERROR(INDEX(Input!$R:$R,MATCH(CONCATENATE($A$1,"_Sunday League_",$L$1,"_",$A15),Input!$I:$I,0)),"")</f>
        <v>Non-aero PB</v>
      </c>
    </row>
    <row r="16" spans="1:12" ht="12.75" x14ac:dyDescent="0.2">
      <c r="A16" s="14">
        <f t="shared" si="1"/>
        <v>13</v>
      </c>
      <c r="B16" s="13" t="str">
        <f t="array" aca="1" ref="B16" ca="1">IFERROR(INDEX(Input!$O:$O,MATCH(CONCATENATE($A$1,"_Sunday League_",$L$1,"_",$A16),Input!$I:$I,0)),"")</f>
        <v>Danny Jago</v>
      </c>
      <c r="C16" s="14" t="str">
        <f t="shared" ca="1" si="0"/>
        <v>SW</v>
      </c>
      <c r="D16" s="14" t="str">
        <f t="array" aca="1" ref="D16" ca="1">IFERROR(INDEX(Input!$P:$P,MATCH(CONCATENATE($A$1,"_Sunday League_",$L$1,"_",$A16),Input!$I:$I,0)),"")</f>
        <v>Vet</v>
      </c>
      <c r="E16" s="34">
        <f t="array" aca="1" ref="E16" ca="1">IFERROR(INDEX(Input!$Q:$Q,MATCH(CONCATENATE($A$1,"_Sunday League_",$L$1,"_",$A16),Input!$I:$I,0)),"")</f>
        <v>1.9537037037036999E-2</v>
      </c>
      <c r="F16" s="14">
        <f t="array" aca="1" ref="F16" ca="1">IFERROR(INDEX(Input!$AF:$AF,MATCH(CONCATENATE($A$1,"_Sunday League_",$L$1,"_",$A16),Input!$I:$I,0)),"")</f>
        <v>8</v>
      </c>
      <c r="G16" s="34">
        <f t="array" aca="1" ref="G16" ca="1">IFERROR(INDEX(Input!$T:$T,MATCH(CONCATENATE($A$1,"_Sunday League_",$L$1,"_",$A16),Input!$I:$I,0)),"")</f>
        <v>1.1667E-2</v>
      </c>
      <c r="H16" s="14">
        <f t="array" aca="1" ref="H16" ca="1">IFERROR(INDEX(Input!$U:$U,MATCH(CONCATENATE($A$1,"_Sunday League_",$L$1,"_",$A16),Input!$I:$I,0)),"")</f>
        <v>5</v>
      </c>
      <c r="I16" s="34">
        <f t="array" aca="1" ref="I16" ca="1">IF(OR($D16="Vet",$D16="Woman Vet"),INDEX(Input!$W:$W,MATCH(CONCATENATE($A$1,"_Sunday League_",$L$1,"_",$A16),Input!$I:$I,0)),"")</f>
        <v>1.9375E-2</v>
      </c>
      <c r="J16" s="14">
        <f t="array" aca="1" ref="J16" ca="1">IF(OR($D16="Vet",$D16="Woman Vet"),INDEX(Input!$X:$X,MATCH(CONCATENATE($A$1,"_Sunday League_",$L$1,"_",$A16),Input!$I:$I,0)),"")</f>
        <v>14</v>
      </c>
      <c r="K16" s="35" t="str">
        <f t="array" aca="1" ref="K16" ca="1">IFERROR(INDEX(Input!$R:$R,MATCH(CONCATENATE($A$1,"_Sunday League_",$L$1,"_",$A16),Input!$I:$I,0)),"")</f>
        <v>Non-aero First TT</v>
      </c>
    </row>
    <row r="17" spans="1:11" ht="12.75" x14ac:dyDescent="0.2">
      <c r="A17" s="14">
        <f t="shared" si="1"/>
        <v>14</v>
      </c>
      <c r="B17" s="13" t="str">
        <f t="array" aca="1" ref="B17" ca="1">IFERROR(INDEX(Input!$O:$O,MATCH(CONCATENATE($A$1,"_Sunday League_",$L$1,"_",$A17),Input!$I:$I,0)),"")</f>
        <v>Simon Smith</v>
      </c>
      <c r="C17" s="14" t="str">
        <f t="shared" ca="1" si="0"/>
        <v>SW</v>
      </c>
      <c r="D17" s="14" t="str">
        <f t="array" aca="1" ref="D17" ca="1">IFERROR(INDEX(Input!$P:$P,MATCH(CONCATENATE($A$1,"_Sunday League_",$L$1,"_",$A17),Input!$I:$I,0)),"")</f>
        <v>Vet</v>
      </c>
      <c r="E17" s="34">
        <f t="array" aca="1" ref="E17" ca="1">IFERROR(INDEX(Input!$Q:$Q,MATCH(CONCATENATE($A$1,"_Sunday League_",$L$1,"_",$A17),Input!$I:$I,0)),"")</f>
        <v>2.0335648148148099E-2</v>
      </c>
      <c r="F17" s="14">
        <f t="array" aca="1" ref="F17" ca="1">IFERROR(INDEX(Input!$AF:$AF,MATCH(CONCATENATE($A$1,"_Sunday League_",$L$1,"_",$A17),Input!$I:$I,0)),"")</f>
        <v>9</v>
      </c>
      <c r="G17" s="34">
        <f t="array" aca="1" ref="G17" ca="1">IFERROR(INDEX(Input!$T:$T,MATCH(CONCATENATE($A$1,"_Sunday League_",$L$1,"_",$A17),Input!$I:$I,0)),"")</f>
        <v>1.2534999999999999E-2</v>
      </c>
      <c r="H17" s="14">
        <f t="array" aca="1" ref="H17" ca="1">IFERROR(INDEX(Input!$U:$U,MATCH(CONCATENATE($A$1,"_Sunday League_",$L$1,"_",$A17),Input!$I:$I,0)),"")</f>
        <v>13</v>
      </c>
      <c r="I17" s="34">
        <f t="array" aca="1" ref="I17" ca="1">IF(OR($D17="Vet",$D17="Woman Vet"),INDEX(Input!$W:$W,MATCH(CONCATENATE($A$1,"_Sunday League_",$L$1,"_",$A17),Input!$I:$I,0)),"")</f>
        <v>1.8715277777777699E-2</v>
      </c>
      <c r="J17" s="14">
        <f t="array" aca="1" ref="J17" ca="1">IF(OR($D17="Vet",$D17="Woman Vet"),INDEX(Input!$X:$X,MATCH(CONCATENATE($A$1,"_Sunday League_",$L$1,"_",$A17),Input!$I:$I,0)),"")</f>
        <v>13</v>
      </c>
      <c r="K17" s="35" t="str">
        <f t="array" aca="1" ref="K17" ca="1">IFERROR(INDEX(Input!$R:$R,MATCH(CONCATENATE($A$1,"_Sunday League_",$L$1,"_",$A17),Input!$I:$I,0)),"")</f>
        <v>Non-aero CB</v>
      </c>
    </row>
    <row r="18" spans="1:11" ht="12.75" x14ac:dyDescent="0.2">
      <c r="A18" s="14">
        <f t="shared" si="1"/>
        <v>15</v>
      </c>
      <c r="B18" s="13" t="str">
        <f t="array" aca="1" ref="B18" ca="1">IFERROR(INDEX(Input!$O:$O,MATCH(CONCATENATE($A$1,"_Sunday League_",$L$1,"_",$A18),Input!$I:$I,0)),"")</f>
        <v>Stuart Jago</v>
      </c>
      <c r="C18" s="14" t="str">
        <f t="shared" ca="1" si="0"/>
        <v>SW</v>
      </c>
      <c r="D18" s="14" t="str">
        <f t="array" aca="1" ref="D18" ca="1">IFERROR(INDEX(Input!$P:$P,MATCH(CONCATENATE($A$1,"_Sunday League_",$L$1,"_",$A18),Input!$I:$I,0)),"")</f>
        <v>Vet</v>
      </c>
      <c r="E18" s="34">
        <f t="array" aca="1" ref="E18" ca="1">IFERROR(INDEX(Input!$Q:$Q,MATCH(CONCATENATE($A$1,"_Sunday League_",$L$1,"_",$A18),Input!$I:$I,0)),"")</f>
        <v>2.0659722222222201E-2</v>
      </c>
      <c r="F18" s="14">
        <f t="array" aca="1" ref="F18" ca="1">IFERROR(INDEX(Input!$AF:$AF,MATCH(CONCATENATE($A$1,"_Sunday League_",$L$1,"_",$A18),Input!$I:$I,0)),"")</f>
        <v>10</v>
      </c>
      <c r="G18" s="34">
        <f t="array" aca="1" ref="G18" ca="1">IFERROR(INDEX(Input!$T:$T,MATCH(CONCATENATE($A$1,"_Sunday League_",$L$1,"_",$A18),Input!$I:$I,0)),"")</f>
        <v>1.2512000000000001E-2</v>
      </c>
      <c r="H18" s="14">
        <f t="array" aca="1" ref="H18" ca="1">IFERROR(INDEX(Input!$U:$U,MATCH(CONCATENATE($A$1,"_Sunday League_",$L$1,"_",$A18),Input!$I:$I,0)),"")</f>
        <v>12</v>
      </c>
      <c r="I18" s="34">
        <f t="array" aca="1" ref="I18" ca="1">IF(OR($D18="Vet",$D18="Woman Vet"),INDEX(Input!$W:$W,MATCH(CONCATENATE($A$1,"_Sunday League_",$L$1,"_",$A18),Input!$I:$I,0)),"")</f>
        <v>1.7986111111111099E-2</v>
      </c>
      <c r="J18" s="14">
        <f t="array" aca="1" ref="J18" ca="1">IF(OR($D18="Vet",$D18="Woman Vet"),INDEX(Input!$X:$X,MATCH(CONCATENATE($A$1,"_Sunday League_",$L$1,"_",$A18),Input!$I:$I,0)),"")</f>
        <v>9</v>
      </c>
      <c r="K18" s="35" t="str">
        <f t="array" aca="1" ref="K18" ca="1">IFERROR(INDEX(Input!$R:$R,MATCH(CONCATENATE($A$1,"_Sunday League_",$L$1,"_",$A18),Input!$I:$I,0)),"")</f>
        <v>Non-aero</v>
      </c>
    </row>
    <row r="19" spans="1:11" ht="12.75" x14ac:dyDescent="0.2">
      <c r="A19" s="14">
        <f t="shared" si="1"/>
        <v>16</v>
      </c>
      <c r="B19" s="13" t="str">
        <f t="array" aca="1" ref="B19" ca="1">IFERROR(INDEX(Input!$O:$O,MATCH(CONCATENATE($A$1,"_Sunday League_",$L$1,"_",$A19),Input!$I:$I,0)),"")</f>
        <v>Chris Smith</v>
      </c>
      <c r="C19" s="14" t="str">
        <f t="shared" ca="1" si="0"/>
        <v>SW</v>
      </c>
      <c r="D19" s="14" t="str">
        <f t="array" aca="1" ref="D19" ca="1">IFERROR(INDEX(Input!$P:$P,MATCH(CONCATENATE($A$1,"_Sunday League_",$L$1,"_",$A19),Input!$I:$I,0)),"")</f>
        <v>Vet</v>
      </c>
      <c r="E19" s="34">
        <f t="array" aca="1" ref="E19" ca="1">IFERROR(INDEX(Input!$Q:$Q,MATCH(CONCATENATE($A$1,"_Sunday League_",$L$1,"_",$A19),Input!$I:$I,0)),"")</f>
        <v>2.1666666666666601E-2</v>
      </c>
      <c r="F19" s="14">
        <f t="array" aca="1" ref="F19" ca="1">IFERROR(INDEX(Input!$AF:$AF,MATCH(CONCATENATE($A$1,"_Sunday League_",$L$1,"_",$A19),Input!$I:$I,0)),"")</f>
        <v>11</v>
      </c>
      <c r="G19" s="34">
        <f t="array" aca="1" ref="G19" ca="1">IFERROR(INDEX(Input!$T:$T,MATCH(CONCATENATE($A$1,"_Sunday League_",$L$1,"_",$A19),Input!$I:$I,0)),"")</f>
        <v>1.1806000000000001E-2</v>
      </c>
      <c r="H19" s="14">
        <f t="array" aca="1" ref="H19" ca="1">IFERROR(INDEX(Input!$U:$U,MATCH(CONCATENATE($A$1,"_Sunday League_",$L$1,"_",$A19),Input!$I:$I,0)),"")</f>
        <v>7</v>
      </c>
      <c r="I19" s="34">
        <f t="array" aca="1" ref="I19" ca="1">IF(OR($D19="Vet",$D19="Woman Vet"),INDEX(Input!$W:$W,MATCH(CONCATENATE($A$1,"_Sunday League_",$L$1,"_",$A19),Input!$I:$I,0)),"")</f>
        <v>2.0266203703703699E-2</v>
      </c>
      <c r="J19" s="14">
        <f t="array" aca="1" ref="J19" ca="1">IF(OR($D19="Vet",$D19="Woman Vet"),INDEX(Input!$X:$X,MATCH(CONCATENATE($A$1,"_Sunday League_",$L$1,"_",$A19),Input!$I:$I,0)),"")</f>
        <v>15</v>
      </c>
      <c r="K19" s="35" t="str">
        <f t="array" aca="1" ref="K19" ca="1">IFERROR(INDEX(Input!$R:$R,MATCH(CONCATENATE($A$1,"_Sunday League_",$L$1,"_",$A19),Input!$I:$I,0)),"")</f>
        <v>Non-aero CB</v>
      </c>
    </row>
    <row r="20" spans="1:11" ht="12.75" x14ac:dyDescent="0.2">
      <c r="A20" s="14">
        <f t="shared" si="1"/>
        <v>17</v>
      </c>
      <c r="B20" s="13" t="str">
        <f t="array" aca="1" ref="B20" ca="1">IFERROR(INDEX(Input!$O:$O,MATCH(CONCATENATE($A$1,"_Sunday League_",$L$1,"_",$A20),Input!$I:$I,0)),"")</f>
        <v>Simon Gretton</v>
      </c>
      <c r="C20" s="14" t="str">
        <f t="shared" ca="1" si="0"/>
        <v>SW</v>
      </c>
      <c r="D20" s="14" t="str">
        <f t="array" aca="1" ref="D20" ca="1">IFERROR(INDEX(Input!$P:$P,MATCH(CONCATENATE($A$1,"_Sunday League_",$L$1,"_",$A20),Input!$I:$I,0)),"")</f>
        <v>Vet</v>
      </c>
      <c r="E20" s="34">
        <f t="array" aca="1" ref="E20" ca="1">IFERROR(INDEX(Input!$Q:$Q,MATCH(CONCATENATE($A$1,"_Sunday League_",$L$1,"_",$A20),Input!$I:$I,0)),"")</f>
        <v>2.1689814814814801E-2</v>
      </c>
      <c r="F20" s="14">
        <f t="array" aca="1" ref="F20" ca="1">IFERROR(INDEX(Input!$AF:$AF,MATCH(CONCATENATE($A$1,"_Sunday League_",$L$1,"_",$A20),Input!$I:$I,0)),"")</f>
        <v>12</v>
      </c>
      <c r="G20" s="34">
        <f t="array" aca="1" ref="G20" ca="1">IFERROR(INDEX(Input!$T:$T,MATCH(CONCATENATE($A$1,"_Sunday League_",$L$1,"_",$A20),Input!$I:$I,0)),"")</f>
        <v>1.1806000000000001E-2</v>
      </c>
      <c r="H20" s="14">
        <f t="array" aca="1" ref="H20" ca="1">IFERROR(INDEX(Input!$U:$U,MATCH(CONCATENATE($A$1,"_Sunday League_",$L$1,"_",$A20),Input!$I:$I,0)),"")</f>
        <v>7</v>
      </c>
      <c r="I20" s="34">
        <f t="array" aca="1" ref="I20" ca="1">IF(OR($D20="Vet",$D20="Woman Vet"),INDEX(Input!$W:$W,MATCH(CONCATENATE($A$1,"_Sunday League_",$L$1,"_",$A20),Input!$I:$I,0)),"")</f>
        <v>1.8159722222222199E-2</v>
      </c>
      <c r="J20" s="14">
        <f t="array" aca="1" ref="J20" ca="1">IF(OR($D20="Vet",$D20="Woman Vet"),INDEX(Input!$X:$X,MATCH(CONCATENATE($A$1,"_Sunday League_",$L$1,"_",$A20),Input!$I:$I,0)),"")</f>
        <v>12</v>
      </c>
      <c r="K20" s="35" t="str">
        <f t="array" aca="1" ref="K20" ca="1">IFERROR(INDEX(Input!$R:$R,MATCH(CONCATENATE($A$1,"_Sunday League_",$L$1,"_",$A20),Input!$I:$I,0)),"")</f>
        <v>Non-aero PB</v>
      </c>
    </row>
    <row r="21" spans="1:11" ht="12.75" x14ac:dyDescent="0.2">
      <c r="A21" s="14">
        <f t="shared" si="1"/>
        <v>18</v>
      </c>
      <c r="B21" s="13" t="str">
        <f t="array" aca="1" ref="B21" ca="1">IFERROR(INDEX(Input!$O:$O,MATCH(CONCATENATE($A$1,"_Sunday League_",$L$1,"_",$A21),Input!$I:$I,0)),"")</f>
        <v>Carol Cartwright</v>
      </c>
      <c r="C21" s="14" t="str">
        <f t="shared" ca="1" si="0"/>
        <v>SW</v>
      </c>
      <c r="D21" s="14" t="str">
        <f t="array" aca="1" ref="D21" ca="1">IFERROR(INDEX(Input!$P:$P,MATCH(CONCATENATE($A$1,"_Sunday League_",$L$1,"_",$A21),Input!$I:$I,0)),"")</f>
        <v>Woman Vet</v>
      </c>
      <c r="E21" s="34">
        <f t="array" aca="1" ref="E21" ca="1">IFERROR(INDEX(Input!$Q:$Q,MATCH(CONCATENATE($A$1,"_Sunday League_",$L$1,"_",$A21),Input!$I:$I,0)),"")</f>
        <v>2.2870370370370301E-2</v>
      </c>
      <c r="F21" s="14">
        <f t="array" aca="1" ref="F21" ca="1">IFERROR(INDEX(Input!$AF:$AF,MATCH(CONCATENATE($A$1,"_Sunday League_",$L$1,"_",$A21),Input!$I:$I,0)),"")</f>
        <v>13</v>
      </c>
      <c r="G21" s="34">
        <f t="array" aca="1" ref="G21" ca="1">IFERROR(INDEX(Input!$T:$T,MATCH(CONCATENATE($A$1,"_Sunday League_",$L$1,"_",$A21),Input!$I:$I,0)),"")</f>
        <v>1.265E-2</v>
      </c>
      <c r="H21" s="14">
        <f t="array" aca="1" ref="H21" ca="1">IFERROR(INDEX(Input!$U:$U,MATCH(CONCATENATE($A$1,"_Sunday League_",$L$1,"_",$A21),Input!$I:$I,0)),"")</f>
        <v>15</v>
      </c>
      <c r="I21" s="34">
        <f t="array" aca="1" ref="I21" ca="1">IF(OR($D21="Vet",$D21="Woman Vet"),INDEX(Input!$W:$W,MATCH(CONCATENATE($A$1,"_Sunday League_",$L$1,"_",$A21),Input!$I:$I,0)),"")</f>
        <v>1.8020833333333298E-2</v>
      </c>
      <c r="J21" s="14">
        <f t="array" aca="1" ref="J21" ca="1">IF(OR($D21="Vet",$D21="Woman Vet"),INDEX(Input!$X:$X,MATCH(CONCATENATE($A$1,"_Sunday League_",$L$1,"_",$A21),Input!$I:$I,0)),"")</f>
        <v>10</v>
      </c>
      <c r="K21" s="35" t="str">
        <f t="array" aca="1" ref="K21" ca="1">IFERROR(INDEX(Input!$R:$R,MATCH(CONCATENATE($A$1,"_Sunday League_",$L$1,"_",$A21),Input!$I:$I,0)),"")</f>
        <v>Non-aero</v>
      </c>
    </row>
    <row r="22" spans="1:11" ht="12.75" x14ac:dyDescent="0.2">
      <c r="A22" s="14">
        <f t="shared" si="1"/>
        <v>19</v>
      </c>
      <c r="B22" s="13" t="str">
        <f t="array" aca="1" ref="B22" ca="1">IFERROR(INDEX(Input!$O:$O,MATCH(CONCATENATE($A$1,"_Sunday League_",$L$1,"_",$A22),Input!$I:$I,0)),"")</f>
        <v>Zena Shean</v>
      </c>
      <c r="C22" s="14" t="str">
        <f t="shared" ca="1" si="0"/>
        <v>SW</v>
      </c>
      <c r="D22" s="14" t="str">
        <f t="array" aca="1" ref="D22" ca="1">IFERROR(INDEX(Input!$P:$P,MATCH(CONCATENATE($A$1,"_Sunday League_",$L$1,"_",$A22),Input!$I:$I,0)),"")</f>
        <v>Woman Vet</v>
      </c>
      <c r="E22" s="34">
        <f t="array" aca="1" ref="E22" ca="1">IFERROR(INDEX(Input!$Q:$Q,MATCH(CONCATENATE($A$1,"_Sunday League_",$L$1,"_",$A22),Input!$I:$I,0)),"")</f>
        <v>2.3252314814814799E-2</v>
      </c>
      <c r="F22" s="14">
        <f t="array" aca="1" ref="F22" ca="1">IFERROR(INDEX(Input!$AF:$AF,MATCH(CONCATENATE($A$1,"_Sunday League_",$L$1,"_",$A22),Input!$I:$I,0)),"")</f>
        <v>14</v>
      </c>
      <c r="G22" s="34">
        <f t="array" aca="1" ref="G22" ca="1">IFERROR(INDEX(Input!$T:$T,MATCH(CONCATENATE($A$1,"_Sunday League_",$L$1,"_",$A22),Input!$I:$I,0)),"")</f>
        <v>1.3854E-2</v>
      </c>
      <c r="H22" s="14">
        <f t="array" aca="1" ref="H22" ca="1">IFERROR(INDEX(Input!$U:$U,MATCH(CONCATENATE($A$1,"_Sunday League_",$L$1,"_",$A22),Input!$I:$I,0)),"")</f>
        <v>18</v>
      </c>
      <c r="I22" s="34">
        <f t="array" aca="1" ref="I22" ca="1">IF(OR($D22="Vet",$D22="Woman Vet"),INDEX(Input!$W:$W,MATCH(CONCATENATE($A$1,"_Sunday League_",$L$1,"_",$A22),Input!$I:$I,0)),"")</f>
        <v>2.0682870370370299E-2</v>
      </c>
      <c r="J22" s="14">
        <f t="array" aca="1" ref="J22" ca="1">IF(OR($D22="Vet",$D22="Woman Vet"),INDEX(Input!$X:$X,MATCH(CONCATENATE($A$1,"_Sunday League_",$L$1,"_",$A22),Input!$I:$I,0)),"")</f>
        <v>16</v>
      </c>
      <c r="K22" s="35" t="str">
        <f t="array" aca="1" ref="K22" ca="1">IFERROR(INDEX(Input!$R:$R,MATCH(CONCATENATE($A$1,"_Sunday League_",$L$1,"_",$A22),Input!$I:$I,0)),"")</f>
        <v>Non-aero</v>
      </c>
    </row>
    <row r="23" spans="1:11" ht="12.75" x14ac:dyDescent="0.2">
      <c r="A23" s="14">
        <f t="shared" si="1"/>
        <v>20</v>
      </c>
      <c r="B23" s="13" t="str">
        <f t="array" aca="1" ref="B23" ca="1">IFERROR(INDEX(Input!$O:$O,MATCH(CONCATENATE($A$1,"_Sunday League_",$L$1,"_",$A23),Input!$I:$I,0)),"")</f>
        <v>Kevin Smith</v>
      </c>
      <c r="C23" s="14" t="str">
        <f t="shared" ca="1" si="0"/>
        <v>SW</v>
      </c>
      <c r="D23" s="14" t="str">
        <f t="array" aca="1" ref="D23" ca="1">IFERROR(INDEX(Input!$P:$P,MATCH(CONCATENATE($A$1,"_Sunday League_",$L$1,"_",$A23),Input!$I:$I,0)),"")</f>
        <v>Vet</v>
      </c>
      <c r="E23" s="34">
        <f t="array" aca="1" ref="E23" ca="1">IFERROR(INDEX(Input!$Q:$Q,MATCH(CONCATENATE($A$1,"_Sunday League_",$L$1,"_",$A23),Input!$I:$I,0)),"")</f>
        <v>2.4826388888888801E-2</v>
      </c>
      <c r="F23" s="14">
        <f t="array" aca="1" ref="F23" ca="1">IFERROR(INDEX(Input!$AF:$AF,MATCH(CONCATENATE($A$1,"_Sunday League_",$L$1,"_",$A23),Input!$I:$I,0)),"")</f>
        <v>15</v>
      </c>
      <c r="G23" s="34">
        <f t="array" aca="1" ref="G23" ca="1">IFERROR(INDEX(Input!$T:$T,MATCH(CONCATENATE($A$1,"_Sunday League_",$L$1,"_",$A23),Input!$I:$I,0)),"")</f>
        <v>1.3287E-2</v>
      </c>
      <c r="H23" s="14">
        <f t="array" aca="1" ref="H23" ca="1">IFERROR(INDEX(Input!$U:$U,MATCH(CONCATENATE($A$1,"_Sunday League_",$L$1,"_",$A23),Input!$I:$I,0)),"")</f>
        <v>17</v>
      </c>
      <c r="I23" s="34">
        <f t="array" aca="1" ref="I23" ca="1">IF(OR($D23="Vet",$D23="Woman Vet"),INDEX(Input!$W:$W,MATCH(CONCATENATE($A$1,"_Sunday League_",$L$1,"_",$A23),Input!$I:$I,0)),"")</f>
        <v>2.3090277777777699E-2</v>
      </c>
      <c r="J23" s="14">
        <f t="array" aca="1" ref="J23" ca="1">IF(OR($D23="Vet",$D23="Woman Vet"),INDEX(Input!$X:$X,MATCH(CONCATENATE($A$1,"_Sunday League_",$L$1,"_",$A23),Input!$I:$I,0)),"")</f>
        <v>17</v>
      </c>
      <c r="K23" s="35" t="str">
        <f t="array" aca="1" ref="K23" ca="1">IFERROR(INDEX(Input!$R:$R,MATCH(CONCATENATE($A$1,"_Sunday League_",$L$1,"_",$A23),Input!$I:$I,0)),"")</f>
        <v>Non-aero</v>
      </c>
    </row>
    <row r="24" spans="1:11" ht="12.75" x14ac:dyDescent="0.2">
      <c r="A24" s="14"/>
      <c r="B24" s="13"/>
      <c r="C24" s="14"/>
      <c r="D24" s="14"/>
      <c r="E24" s="34"/>
      <c r="F24" s="14"/>
      <c r="G24" s="34"/>
      <c r="H24" s="14"/>
      <c r="I24" s="14"/>
      <c r="J24" s="14"/>
      <c r="K24" s="35"/>
    </row>
    <row r="25" spans="1:11" ht="12.75" x14ac:dyDescent="0.2">
      <c r="A25" s="14"/>
      <c r="B25" s="13" t="s">
        <v>82</v>
      </c>
      <c r="C25" s="14" t="s">
        <v>83</v>
      </c>
      <c r="D25" s="14"/>
      <c r="E25" s="34">
        <v>1.5277777777777777E-2</v>
      </c>
      <c r="F25" s="14"/>
      <c r="G25" s="34"/>
      <c r="H25" s="14"/>
      <c r="I25" s="14"/>
      <c r="J25" s="14"/>
      <c r="K25" s="35" t="s">
        <v>61</v>
      </c>
    </row>
    <row r="26" spans="1:11" ht="12.75" x14ac:dyDescent="0.2">
      <c r="A26" s="14"/>
      <c r="B26" s="13" t="s">
        <v>84</v>
      </c>
      <c r="C26" s="14" t="s">
        <v>83</v>
      </c>
      <c r="D26" s="14"/>
      <c r="E26" s="34">
        <v>1.5543981481481482E-2</v>
      </c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 t="s">
        <v>85</v>
      </c>
      <c r="C27" s="14" t="s">
        <v>86</v>
      </c>
      <c r="D27" s="14"/>
      <c r="E27" s="34">
        <v>1.579861111111111E-2</v>
      </c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 t="s">
        <v>87</v>
      </c>
      <c r="C28" s="14" t="s">
        <v>78</v>
      </c>
      <c r="D28" s="14"/>
      <c r="E28" s="34">
        <v>1.5833333333333335E-2</v>
      </c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 t="s">
        <v>88</v>
      </c>
      <c r="C29" s="14" t="s">
        <v>89</v>
      </c>
      <c r="D29" s="14"/>
      <c r="E29" s="34">
        <v>1.6319444444444445E-2</v>
      </c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 t="s">
        <v>90</v>
      </c>
      <c r="C30" s="14" t="s">
        <v>91</v>
      </c>
      <c r="D30" s="14"/>
      <c r="E30" s="34">
        <v>1.6527777777777777E-2</v>
      </c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 t="s">
        <v>92</v>
      </c>
      <c r="C31" s="14" t="s">
        <v>93</v>
      </c>
      <c r="D31" s="14"/>
      <c r="E31" s="34">
        <v>1.667824074074074E-2</v>
      </c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 t="s">
        <v>77</v>
      </c>
      <c r="C32" s="14" t="s">
        <v>78</v>
      </c>
      <c r="D32" s="14"/>
      <c r="E32" s="34">
        <v>1.6944444444444446E-2</v>
      </c>
      <c r="F32" s="34"/>
      <c r="G32" s="34"/>
      <c r="H32" s="14"/>
      <c r="I32" s="14"/>
      <c r="J32" s="14"/>
      <c r="K32" s="35"/>
    </row>
    <row r="33" spans="1:12" ht="12.75" x14ac:dyDescent="0.2">
      <c r="A33" s="14"/>
      <c r="B33" s="13" t="s">
        <v>94</v>
      </c>
      <c r="C33" s="14" t="s">
        <v>93</v>
      </c>
      <c r="D33" s="14"/>
      <c r="E33" s="34">
        <v>1.7187500000000001E-2</v>
      </c>
      <c r="F33" s="34"/>
      <c r="G33" s="34"/>
      <c r="H33" s="14"/>
      <c r="I33" s="14"/>
      <c r="J33" s="14"/>
      <c r="K33" s="35"/>
    </row>
    <row r="34" spans="1:12" ht="12.75" x14ac:dyDescent="0.2">
      <c r="A34" s="14"/>
      <c r="B34" s="13" t="s">
        <v>95</v>
      </c>
      <c r="C34" s="14" t="s">
        <v>93</v>
      </c>
      <c r="D34" s="14"/>
      <c r="E34" s="34">
        <v>1.7326388888888888E-2</v>
      </c>
      <c r="F34" s="34"/>
      <c r="G34" s="34"/>
      <c r="H34" s="14"/>
      <c r="I34" s="14"/>
      <c r="J34" s="14"/>
      <c r="K34" s="35"/>
    </row>
    <row r="35" spans="1:12" ht="12.75" x14ac:dyDescent="0.2">
      <c r="A35" s="14"/>
      <c r="B35" s="13" t="s">
        <v>96</v>
      </c>
      <c r="C35" s="14" t="s">
        <v>93</v>
      </c>
      <c r="D35" s="14"/>
      <c r="E35" s="34">
        <v>1.7893518518518517E-2</v>
      </c>
      <c r="F35" s="34"/>
      <c r="G35" s="34"/>
      <c r="H35" s="14"/>
      <c r="I35" s="14"/>
      <c r="J35" s="14"/>
      <c r="K35" s="35"/>
    </row>
    <row r="36" spans="1:12" ht="12.75" x14ac:dyDescent="0.2">
      <c r="A36" s="14"/>
      <c r="B36" s="13" t="s">
        <v>97</v>
      </c>
      <c r="C36" s="14" t="s">
        <v>93</v>
      </c>
      <c r="D36" s="14"/>
      <c r="E36" s="34">
        <v>1.8217592592592594E-2</v>
      </c>
      <c r="F36" s="34"/>
      <c r="G36" s="34"/>
      <c r="H36" s="14"/>
      <c r="I36" s="14"/>
      <c r="J36" s="14"/>
      <c r="K36" s="35"/>
    </row>
    <row r="37" spans="1:12" ht="12.75" x14ac:dyDescent="0.2">
      <c r="A37" s="14"/>
      <c r="B37" s="13" t="s">
        <v>98</v>
      </c>
      <c r="C37" s="14" t="s">
        <v>93</v>
      </c>
      <c r="D37" s="14"/>
      <c r="E37" s="34">
        <v>1.849537037037037E-2</v>
      </c>
      <c r="F37" s="34"/>
      <c r="G37" s="34"/>
      <c r="H37" s="14"/>
      <c r="I37" s="14"/>
      <c r="J37" s="14"/>
      <c r="K37" s="35"/>
    </row>
    <row r="38" spans="1:12" ht="12.75" x14ac:dyDescent="0.2">
      <c r="A38" s="14"/>
      <c r="B38" s="13" t="s">
        <v>99</v>
      </c>
      <c r="C38" s="14" t="s">
        <v>83</v>
      </c>
      <c r="D38" s="14"/>
      <c r="E38" s="34">
        <v>1.8703703703703705E-2</v>
      </c>
      <c r="F38" s="34"/>
      <c r="G38" s="34"/>
      <c r="H38" s="14"/>
      <c r="I38" s="14"/>
      <c r="J38" s="14"/>
      <c r="K38" s="35"/>
    </row>
    <row r="39" spans="1:12" ht="12.75" x14ac:dyDescent="0.2">
      <c r="A39" s="14"/>
      <c r="B39" s="13" t="s">
        <v>100</v>
      </c>
      <c r="C39" s="14" t="s">
        <v>93</v>
      </c>
      <c r="D39" s="14"/>
      <c r="E39" s="34">
        <v>1.9583333333333335E-2</v>
      </c>
      <c r="F39" s="34"/>
      <c r="G39" s="34"/>
      <c r="H39" s="14"/>
      <c r="I39" s="14"/>
      <c r="J39" s="14"/>
      <c r="K39" s="35"/>
    </row>
    <row r="40" spans="1:12" ht="12.75" x14ac:dyDescent="0.2">
      <c r="A40" s="14"/>
      <c r="B40" s="13" t="s">
        <v>101</v>
      </c>
      <c r="C40" s="14" t="s">
        <v>93</v>
      </c>
      <c r="D40" s="14"/>
      <c r="E40" s="34">
        <v>1.9699074074074074E-2</v>
      </c>
      <c r="F40" s="34"/>
      <c r="G40" s="34"/>
      <c r="H40" s="14"/>
      <c r="I40" s="14"/>
      <c r="J40" s="14"/>
      <c r="K40" s="35"/>
    </row>
    <row r="41" spans="1:12" ht="12.75" x14ac:dyDescent="0.2">
      <c r="A41" s="14"/>
      <c r="B41" s="13" t="s">
        <v>102</v>
      </c>
      <c r="C41" s="14" t="s">
        <v>93</v>
      </c>
      <c r="D41" s="14"/>
      <c r="E41" s="34">
        <v>0.02</v>
      </c>
      <c r="F41" s="34"/>
      <c r="G41" s="34"/>
      <c r="H41" s="14"/>
      <c r="I41" s="14"/>
      <c r="J41" s="14"/>
      <c r="K41" s="35"/>
    </row>
    <row r="42" spans="1:12" ht="12.75" x14ac:dyDescent="0.2">
      <c r="A42" s="14"/>
      <c r="B42" s="13" t="s">
        <v>103</v>
      </c>
      <c r="C42" s="14" t="s">
        <v>93</v>
      </c>
      <c r="D42" s="14"/>
      <c r="E42" s="34">
        <v>2.0011574074074074E-2</v>
      </c>
      <c r="F42" s="34"/>
      <c r="G42" s="34"/>
      <c r="H42" s="14"/>
      <c r="I42" s="14"/>
      <c r="J42" s="14"/>
      <c r="K42" s="35" t="s">
        <v>67</v>
      </c>
    </row>
    <row r="43" spans="1:12" ht="12.75" x14ac:dyDescent="0.2">
      <c r="A43" s="14"/>
      <c r="B43" s="13" t="s">
        <v>104</v>
      </c>
      <c r="C43" s="14" t="s">
        <v>93</v>
      </c>
      <c r="D43" s="14"/>
      <c r="E43" s="34">
        <v>2.0046296296296295E-2</v>
      </c>
      <c r="F43" s="34"/>
      <c r="G43" s="34"/>
      <c r="H43" s="14"/>
      <c r="I43" s="14"/>
      <c r="J43" s="14"/>
      <c r="K43" s="35"/>
    </row>
    <row r="44" spans="1:12" ht="12.75" x14ac:dyDescent="0.2">
      <c r="A44" s="14"/>
      <c r="B44" s="13" t="s">
        <v>105</v>
      </c>
      <c r="C44" s="14" t="s">
        <v>83</v>
      </c>
      <c r="D44" s="14"/>
      <c r="E44" s="34">
        <v>2.0173611111111111E-2</v>
      </c>
      <c r="F44" s="34"/>
      <c r="G44" s="34"/>
      <c r="H44" s="14"/>
      <c r="I44" s="14"/>
      <c r="J44" s="14"/>
      <c r="K44" s="35"/>
    </row>
    <row r="45" spans="1:12" ht="12.75" x14ac:dyDescent="0.2">
      <c r="A45" s="14"/>
      <c r="B45" s="13" t="s">
        <v>106</v>
      </c>
      <c r="C45" s="14" t="s">
        <v>83</v>
      </c>
      <c r="D45" s="14"/>
      <c r="E45" s="34">
        <v>2.0370370370370372E-2</v>
      </c>
      <c r="F45" s="34"/>
      <c r="G45" s="34"/>
      <c r="H45" s="14"/>
      <c r="I45" s="14"/>
      <c r="J45" s="14"/>
      <c r="K45" s="35"/>
    </row>
    <row r="46" spans="1:12" ht="12.75" x14ac:dyDescent="0.2">
      <c r="A46" s="14"/>
      <c r="B46" s="13" t="s">
        <v>107</v>
      </c>
      <c r="C46" s="14" t="s">
        <v>93</v>
      </c>
      <c r="D46" s="14"/>
      <c r="E46" s="34">
        <v>2.0694444444444446E-2</v>
      </c>
      <c r="F46" s="34"/>
      <c r="G46" s="34"/>
      <c r="H46" s="14"/>
      <c r="I46" s="14"/>
      <c r="J46" s="14"/>
      <c r="K46" s="35"/>
    </row>
    <row r="47" spans="1:12" ht="12.75" x14ac:dyDescent="0.2">
      <c r="A47" s="14"/>
      <c r="B47" s="13" t="s">
        <v>108</v>
      </c>
      <c r="C47" s="14" t="s">
        <v>83</v>
      </c>
      <c r="D47" s="14" t="s">
        <v>109</v>
      </c>
      <c r="E47" s="34">
        <v>2.1643518518518517E-2</v>
      </c>
      <c r="F47" s="34"/>
      <c r="G47" s="34"/>
      <c r="H47" s="14"/>
      <c r="I47" s="14"/>
      <c r="J47" s="14"/>
      <c r="K47" s="35"/>
      <c r="L47" s="13"/>
    </row>
    <row r="48" spans="1:12" ht="12.75" x14ac:dyDescent="0.2">
      <c r="A48" s="14"/>
      <c r="B48" s="13" t="s">
        <v>110</v>
      </c>
      <c r="C48" s="14" t="s">
        <v>93</v>
      </c>
      <c r="D48" s="14"/>
      <c r="E48" s="34">
        <v>2.1874999999999999E-2</v>
      </c>
      <c r="F48" s="34"/>
      <c r="G48" s="34"/>
      <c r="H48" s="14"/>
      <c r="I48" s="14"/>
      <c r="J48" s="14"/>
      <c r="K48" s="35"/>
      <c r="L48" s="13"/>
    </row>
    <row r="49" spans="1:12" ht="12.75" x14ac:dyDescent="0.2">
      <c r="A49" s="14"/>
      <c r="B49" s="13" t="s">
        <v>111</v>
      </c>
      <c r="C49" s="14" t="s">
        <v>83</v>
      </c>
      <c r="D49" s="14"/>
      <c r="E49" s="34">
        <v>2.3067129629629628E-2</v>
      </c>
      <c r="F49" s="34"/>
      <c r="G49" s="34"/>
      <c r="H49" s="14"/>
      <c r="I49" s="14"/>
      <c r="J49" s="14"/>
      <c r="K49" s="35"/>
      <c r="L49" s="13"/>
    </row>
    <row r="50" spans="1:12" ht="12.75" x14ac:dyDescent="0.2">
      <c r="A50" s="13"/>
      <c r="B50" s="13" t="s">
        <v>112</v>
      </c>
      <c r="C50" s="14" t="s">
        <v>93</v>
      </c>
      <c r="D50" s="14"/>
      <c r="E50" s="34">
        <v>2.763888888888889E-2</v>
      </c>
      <c r="F50" s="13"/>
      <c r="G50" s="13"/>
      <c r="H50" s="13"/>
      <c r="I50" s="13"/>
      <c r="J50" s="13"/>
      <c r="K50" s="13"/>
      <c r="L50" s="13"/>
    </row>
  </sheetData>
  <mergeCells count="2">
    <mergeCell ref="A1:K1"/>
    <mergeCell ref="A2:K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L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45816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10</v>
      </c>
    </row>
    <row r="2" spans="1:12" ht="18" x14ac:dyDescent="0.25">
      <c r="A2" s="47" t="s">
        <v>113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Henry O'Kill</v>
      </c>
      <c r="C4" s="14" t="str">
        <f t="shared" ref="C4:C16" ca="1" si="0">IF(B4="","","SW")</f>
        <v>SW</v>
      </c>
      <c r="D4" s="14" t="str">
        <f t="array" aca="1" ref="D4" ca="1">IFERROR(INDEX(Input!$P:$P,MATCH(CONCATENATE($A$1,"_Sunday League_",$L$1,"_",$A4),Input!$I:$I,0)),"")</f>
        <v>Senior</v>
      </c>
      <c r="E4" s="34">
        <f t="array" aca="1" ref="E4" ca="1">IFERROR(INDEX(Input!$Q:$Q,MATCH(CONCATENATE($A$1,"_Sunday League_",$L$1,"_",$A4),Input!$I:$I,0)),"")</f>
        <v>1.5717592592592498E-2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1.3587999999999999E-2</v>
      </c>
      <c r="H4" s="14">
        <f t="array" aca="1" ref="H4" ca="1">IFERROR(INDEX(Input!$U:$U,MATCH(CONCATENATE($A$1,"_Sunday League_",$L$1,"_",$A4),Input!$I:$I,0)),"")</f>
        <v>11</v>
      </c>
      <c r="I4" s="14" t="str">
        <f t="array" aca="1" ref="I4" ca="1">IF(OR($D4="Vet",$D4="Woman Vet"),INDEX(Input!$W:$W,MATCH(CONCATENATE($A$1,"_Sunday League_",$L$1,"_",$A4),Input!$I:$I,0)),"")</f>
        <v/>
      </c>
      <c r="J4" s="14" t="str">
        <f t="array" aca="1" ref="J4" ca="1">IF(OR($D4="Vet",$D4="Woman Vet"),INDEX(Input!$X:$X,MATCH(CONCATENATE($A$1,"_Sunday League_",$L$1,"_",$A4),Input!$I:$I,0)),"")</f>
        <v/>
      </c>
      <c r="K4" s="35" t="str">
        <f t="array" aca="1" ref="K4" ca="1">IFERROR(INDEX(Input!$R:$R,MATCH(CONCATENATE($A$1,"_Sunday League_",$L$1,"_",$A4),Input!$I:$I,0)),"")</f>
        <v/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f t="shared" ref="A5:A16" si="1">A4+1</f>
        <v>2</v>
      </c>
      <c r="B5" s="13" t="str">
        <f t="array" aca="1" ref="B5" ca="1">IFERROR(INDEX(Input!$O:$O,MATCH(CONCATENATE($A$1,"_Sunday League_",$L$1,"_",$A5),Input!$I:$I,0)),"")</f>
        <v>David Carey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Vet</v>
      </c>
      <c r="E5" s="34">
        <f t="array" aca="1" ref="E5" ca="1">IFERROR(INDEX(Input!$Q:$Q,MATCH(CONCATENATE($A$1,"_Sunday League_",$L$1,"_",$A5),Input!$I:$I,0)),"")</f>
        <v>1.73148148148148E-2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1.294E-2</v>
      </c>
      <c r="H5" s="14">
        <f t="array" aca="1" ref="H5" ca="1">IFERROR(INDEX(Input!$U:$U,MATCH(CONCATENATE($A$1,"_Sunday League_",$L$1,"_",$A5),Input!$I:$I,0)),"")</f>
        <v>6</v>
      </c>
      <c r="I5" s="34">
        <f t="array" aca="1" ref="I5" ca="1">IF(OR($D5="Vet",$D5="Woman Vet"),INDEX(Input!$W:$W,MATCH(CONCATENATE($A$1,"_Sunday League_",$L$1,"_",$A5),Input!$I:$I,0)),"")</f>
        <v>1.6631944444444401E-2</v>
      </c>
      <c r="J5" s="14">
        <f t="array" aca="1" ref="J5" ca="1">IF(OR($D5="Vet",$D5="Woman Vet"),INDEX(Input!$X:$X,MATCH(CONCATENATE($A$1,"_Sunday League_",$L$1,"_",$A5),Input!$I:$I,0)),"")</f>
        <v>2</v>
      </c>
      <c r="K5" s="35" t="str">
        <f t="array" aca="1" ref="K5" ca="1">IFERROR(INDEX(Input!$R:$R,MATCH(CONCATENATE($A$1,"_Sunday League_",$L$1,"_",$A5),Input!$I:$I,0)),"")</f>
        <v/>
      </c>
    </row>
    <row r="6" spans="1:12" ht="12.75" x14ac:dyDescent="0.2">
      <c r="A6" s="14">
        <f t="shared" si="1"/>
        <v>3</v>
      </c>
      <c r="B6" s="13" t="str">
        <f t="array" aca="1" ref="B6" ca="1">IFERROR(INDEX(Input!$O:$O,MATCH(CONCATENATE($A$1,"_Sunday League_",$L$1,"_",$A6),Input!$I:$I,0)),"")</f>
        <v>Barry Simpson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1.8368055555555499E-2</v>
      </c>
      <c r="F6" s="14">
        <f t="array" aca="1" ref="F6" ca="1">IFERROR(INDEX(Input!$AF:$AF,MATCH(CONCATENATE($A$1,"_Sunday League_",$L$1,"_",$A6),Input!$I:$I,0)),"")</f>
        <v>1</v>
      </c>
      <c r="G6" s="34">
        <f t="array" aca="1" ref="G6" ca="1">IFERROR(INDEX(Input!$T:$T,MATCH(CONCATENATE($A$1,"_Sunday League_",$L$1,"_",$A6),Input!$I:$I,0)),"")</f>
        <v>1.2500000000000001E-2</v>
      </c>
      <c r="H6" s="14">
        <f t="array" aca="1" ref="H6" ca="1">IFERROR(INDEX(Input!$U:$U,MATCH(CONCATENATE($A$1,"_Sunday League_",$L$1,"_",$A6),Input!$I:$I,0)),"")</f>
        <v>4</v>
      </c>
      <c r="I6" s="34">
        <f t="array" aca="1" ref="I6" ca="1">IF(OR($D6="Vet",$D6="Woman Vet"),INDEX(Input!$W:$W,MATCH(CONCATENATE($A$1,"_Sunday League_",$L$1,"_",$A6),Input!$I:$I,0)),"")</f>
        <v>1.63888888888888E-2</v>
      </c>
      <c r="J6" s="14">
        <f t="array" aca="1" ref="J6" ca="1">IF(OR($D6="Vet",$D6="Woman Vet"),INDEX(Input!$X:$X,MATCH(CONCATENATE($A$1,"_Sunday League_",$L$1,"_",$A6),Input!$I:$I,0)),"")</f>
        <v>1</v>
      </c>
      <c r="K6" s="35" t="str">
        <f t="array" aca="1" ref="K6" ca="1">IFERROR(INDEX(Input!$R:$R,MATCH(CONCATENATE($A$1,"_Sunday League_",$L$1,"_",$A6),Input!$I:$I,0)),"")</f>
        <v>Non-aero</v>
      </c>
    </row>
    <row r="7" spans="1:12" ht="12.75" x14ac:dyDescent="0.2">
      <c r="A7" s="14">
        <f t="shared" si="1"/>
        <v>4</v>
      </c>
      <c r="B7" s="13" t="str">
        <f t="array" aca="1" ref="B7" ca="1">IFERROR(INDEX(Input!$O:$O,MATCH(CONCATENATE($A$1,"_Sunday League_",$L$1,"_",$A7),Input!$I:$I,0)),"")</f>
        <v>Paul Gribbon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1.8541666666666599E-2</v>
      </c>
      <c r="F7" s="14" t="str">
        <f t="array" aca="1" ref="F7" ca="1">IFERROR(INDEX(Input!$AF:$AF,MATCH(CONCATENATE($A$1,"_Sunday League_",$L$1,"_",$A7),Input!$I:$I,0)),"")</f>
        <v/>
      </c>
      <c r="G7" s="34">
        <f t="array" aca="1" ref="G7" ca="1">IFERROR(INDEX(Input!$T:$T,MATCH(CONCATENATE($A$1,"_Sunday League_",$L$1,"_",$A7),Input!$I:$I,0)),"")</f>
        <v>1.3934999999999999E-2</v>
      </c>
      <c r="H7" s="14">
        <f t="array" aca="1" ref="H7" ca="1">IFERROR(INDEX(Input!$U:$U,MATCH(CONCATENATE($A$1,"_Sunday League_",$L$1,"_",$A7),Input!$I:$I,0)),"")</f>
        <v>12</v>
      </c>
      <c r="I7" s="34">
        <f t="array" aca="1" ref="I7" ca="1">IF(OR($D7="Vet",$D7="Woman Vet"),INDEX(Input!$W:$W,MATCH(CONCATENATE($A$1,"_Sunday League_",$L$1,"_",$A7),Input!$I:$I,0)),"")</f>
        <v>1.7858796296296199E-2</v>
      </c>
      <c r="J7" s="14">
        <f t="array" aca="1" ref="J7" ca="1">IF(OR($D7="Vet",$D7="Woman Vet"),INDEX(Input!$X:$X,MATCH(CONCATENATE($A$1,"_Sunday League_",$L$1,"_",$A7),Input!$I:$I,0)),"")</f>
        <v>4</v>
      </c>
      <c r="K7" s="35" t="str">
        <f t="array" aca="1" ref="K7" ca="1">IFERROR(INDEX(Input!$R:$R,MATCH(CONCATENATE($A$1,"_Sunday League_",$L$1,"_",$A7),Input!$I:$I,0)),"")</f>
        <v/>
      </c>
    </row>
    <row r="8" spans="1:12" ht="12.75" x14ac:dyDescent="0.2">
      <c r="A8" s="14">
        <f t="shared" si="1"/>
        <v>5</v>
      </c>
      <c r="B8" s="13" t="str">
        <f t="array" aca="1" ref="B8" ca="1">IFERROR(INDEX(Input!$O:$O,MATCH(CONCATENATE($A$1,"_Sunday League_",$L$1,"_",$A8),Input!$I:$I,0)),"")</f>
        <v>Andy Merchant</v>
      </c>
      <c r="C8" s="14" t="str">
        <f t="shared" ca="1" si="0"/>
        <v>SW</v>
      </c>
      <c r="D8" s="14" t="str">
        <f t="array" aca="1" ref="D8" ca="1">IFERROR(INDEX(Input!$P:$P,MATCH(CONCATENATE($A$1,"_Sunday League_",$L$1,"_",$A8),Input!$I:$I,0)),"")</f>
        <v>Vet</v>
      </c>
      <c r="E8" s="34">
        <f t="array" aca="1" ref="E8" ca="1">IFERROR(INDEX(Input!$Q:$Q,MATCH(CONCATENATE($A$1,"_Sunday League_",$L$1,"_",$A8),Input!$I:$I,0)),"")</f>
        <v>1.91087962962962E-2</v>
      </c>
      <c r="F8" s="14" t="str">
        <f t="array" aca="1" ref="F8" ca="1">IFERROR(INDEX(Input!$AF:$AF,MATCH(CONCATENATE($A$1,"_Sunday League_",$L$1,"_",$A8),Input!$I:$I,0)),"")</f>
        <v/>
      </c>
      <c r="G8" s="34">
        <f t="array" aca="1" ref="G8" ca="1">IFERROR(INDEX(Input!$T:$T,MATCH(CONCATENATE($A$1,"_Sunday League_",$L$1,"_",$A8),Input!$I:$I,0)),"")</f>
        <v>1.4433E-2</v>
      </c>
      <c r="H8" s="14">
        <f t="array" aca="1" ref="H8" ca="1">IFERROR(INDEX(Input!$U:$U,MATCH(CONCATENATE($A$1,"_Sunday League_",$L$1,"_",$A8),Input!$I:$I,0)),"")</f>
        <v>13</v>
      </c>
      <c r="I8" s="34">
        <f t="array" aca="1" ref="I8" ca="1">IF(OR($D8="Vet",$D8="Woman Vet"),INDEX(Input!$W:$W,MATCH(CONCATENATE($A$1,"_Sunday League_",$L$1,"_",$A8),Input!$I:$I,0)),"")</f>
        <v>1.79050925925925E-2</v>
      </c>
      <c r="J8" s="14">
        <f t="array" aca="1" ref="J8" ca="1">IF(OR($D8="Vet",$D8="Woman Vet"),INDEX(Input!$X:$X,MATCH(CONCATENATE($A$1,"_Sunday League_",$L$1,"_",$A8),Input!$I:$I,0)),"")</f>
        <v>5</v>
      </c>
      <c r="K8" s="35" t="str">
        <f t="array" aca="1" ref="K8" ca="1">IFERROR(INDEX(Input!$R:$R,MATCH(CONCATENATE($A$1,"_Sunday League_",$L$1,"_",$A8),Input!$I:$I,0)),"")</f>
        <v/>
      </c>
    </row>
    <row r="9" spans="1:12" ht="12.75" x14ac:dyDescent="0.2">
      <c r="A9" s="14">
        <f t="shared" si="1"/>
        <v>6</v>
      </c>
      <c r="B9" s="13" t="str">
        <f t="array" aca="1" ref="B9" ca="1">IFERROR(INDEX(Input!$O:$O,MATCH(CONCATENATE($A$1,"_Sunday League_",$L$1,"_",$A9),Input!$I:$I,0)),"")</f>
        <v>Ben Pennington</v>
      </c>
      <c r="C9" s="14" t="str">
        <f t="shared" ca="1" si="0"/>
        <v>SW</v>
      </c>
      <c r="D9" s="14" t="str">
        <f t="array" aca="1" ref="D9" ca="1">IFERROR(INDEX(Input!$P:$P,MATCH(CONCATENATE($A$1,"_Sunday League_",$L$1,"_",$A9),Input!$I:$I,0)),"")</f>
        <v>Vet</v>
      </c>
      <c r="E9" s="34">
        <f t="array" aca="1" ref="E9" ca="1">IFERROR(INDEX(Input!$Q:$Q,MATCH(CONCATENATE($A$1,"_Sunday League_",$L$1,"_",$A9),Input!$I:$I,0)),"")</f>
        <v>1.9178240740740701E-2</v>
      </c>
      <c r="F9" s="14">
        <f t="array" aca="1" ref="F9" ca="1">IFERROR(INDEX(Input!$AF:$AF,MATCH(CONCATENATE($A$1,"_Sunday League_",$L$1,"_",$A9),Input!$I:$I,0)),"")</f>
        <v>2</v>
      </c>
      <c r="G9" s="34">
        <f t="array" aca="1" ref="G9" ca="1">IFERROR(INDEX(Input!$T:$T,MATCH(CONCATENATE($A$1,"_Sunday League_",$L$1,"_",$A9),Input!$I:$I,0)),"")</f>
        <v>1.2292000000000001E-2</v>
      </c>
      <c r="H9" s="14">
        <f t="array" aca="1" ref="H9" ca="1">IFERROR(INDEX(Input!$U:$U,MATCH(CONCATENATE($A$1,"_Sunday League_",$L$1,"_",$A9),Input!$I:$I,0)),"")</f>
        <v>2</v>
      </c>
      <c r="I9" s="34">
        <f t="array" aca="1" ref="I9" ca="1">IF(OR($D9="Vet",$D9="Woman Vet"),INDEX(Input!$W:$W,MATCH(CONCATENATE($A$1,"_Sunday League_",$L$1,"_",$A9),Input!$I:$I,0)),"")</f>
        <v>1.8819444444444399E-2</v>
      </c>
      <c r="J9" s="14">
        <f t="array" aca="1" ref="J9" ca="1">IF(OR($D9="Vet",$D9="Woman Vet"),INDEX(Input!$X:$X,MATCH(CONCATENATE($A$1,"_Sunday League_",$L$1,"_",$A9),Input!$I:$I,0)),"")</f>
        <v>8</v>
      </c>
      <c r="K9" s="35" t="str">
        <f t="array" aca="1" ref="K9" ca="1">IFERROR(INDEX(Input!$R:$R,MATCH(CONCATENATE($A$1,"_Sunday League_",$L$1,"_",$A9),Input!$I:$I,0)),"")</f>
        <v>Non-aero</v>
      </c>
    </row>
    <row r="10" spans="1:12" ht="12.75" x14ac:dyDescent="0.2">
      <c r="A10" s="14">
        <f t="shared" si="1"/>
        <v>7</v>
      </c>
      <c r="B10" s="13" t="str">
        <f t="array" aca="1" ref="B10" ca="1">IFERROR(INDEX(Input!$O:$O,MATCH(CONCATENATE($A$1,"_Sunday League_",$L$1,"_",$A10),Input!$I:$I,0)),"")</f>
        <v>Isaac Phillips</v>
      </c>
      <c r="C10" s="14" t="str">
        <f t="shared" ca="1" si="0"/>
        <v>SW</v>
      </c>
      <c r="D10" s="14" t="str">
        <f t="array" aca="1" ref="D10" ca="1">IFERROR(INDEX(Input!$P:$P,MATCH(CONCATENATE($A$1,"_Sunday League_",$L$1,"_",$A10),Input!$I:$I,0)),"")</f>
        <v>Senior</v>
      </c>
      <c r="E10" s="34">
        <f t="array" aca="1" ref="E10" ca="1">IFERROR(INDEX(Input!$Q:$Q,MATCH(CONCATENATE($A$1,"_Sunday League_",$L$1,"_",$A10),Input!$I:$I,0)),"")</f>
        <v>1.9178240740740701E-2</v>
      </c>
      <c r="F10" s="14">
        <f t="array" aca="1" ref="F10" ca="1">IFERROR(INDEX(Input!$AF:$AF,MATCH(CONCATENATE($A$1,"_Sunday League_",$L$1,"_",$A10),Input!$I:$I,0)),"")</f>
        <v>2</v>
      </c>
      <c r="G10" s="34">
        <f t="array" aca="1" ref="G10" ca="1">IFERROR(INDEX(Input!$T:$T,MATCH(CONCATENATE($A$1,"_Sunday League_",$L$1,"_",$A10),Input!$I:$I,0)),"")</f>
        <v>1.2442E-2</v>
      </c>
      <c r="H10" s="14">
        <f t="array" aca="1" ref="H10" ca="1">IFERROR(INDEX(Input!$U:$U,MATCH(CONCATENATE($A$1,"_Sunday League_",$L$1,"_",$A10),Input!$I:$I,0)),"")</f>
        <v>3</v>
      </c>
      <c r="I10" s="14" t="str">
        <f t="array" aca="1" ref="I10" ca="1">IF(OR($D10="Vet",$D10="Woman Vet"),INDEX(Input!$W:$W,MATCH(CONCATENATE($A$1,"_Sunday League_",$L$1,"_",$A10),Input!$I:$I,0)),"")</f>
        <v/>
      </c>
      <c r="J10" s="14" t="str">
        <f t="array" aca="1" ref="J10" ca="1">IF(OR($D10="Vet",$D10="Woman Vet"),INDEX(Input!$X:$X,MATCH(CONCATENATE($A$1,"_Sunday League_",$L$1,"_",$A10),Input!$I:$I,0)),"")</f>
        <v/>
      </c>
      <c r="K10" s="35" t="str">
        <f t="array" aca="1" ref="K10" ca="1">IFERROR(INDEX(Input!$R:$R,MATCH(CONCATENATE($A$1,"_Sunday League_",$L$1,"_",$A10),Input!$I:$I,0)),"")</f>
        <v>Non-aero</v>
      </c>
    </row>
    <row r="11" spans="1:12" ht="12.75" x14ac:dyDescent="0.2">
      <c r="A11" s="14">
        <f t="shared" si="1"/>
        <v>8</v>
      </c>
      <c r="B11" s="13" t="str">
        <f t="array" aca="1" ref="B11" ca="1">IFERROR(INDEX(Input!$O:$O,MATCH(CONCATENATE($A$1,"_Sunday League_",$L$1,"_",$A11),Input!$I:$I,0)),"")</f>
        <v>Adam Jones</v>
      </c>
      <c r="C11" s="14" t="str">
        <f t="shared" ca="1" si="0"/>
        <v>SW</v>
      </c>
      <c r="D11" s="14" t="str">
        <f t="array" aca="1" ref="D11" ca="1">IFERROR(INDEX(Input!$P:$P,MATCH(CONCATENATE($A$1,"_Sunday League_",$L$1,"_",$A11),Input!$I:$I,0)),"")</f>
        <v>Vet</v>
      </c>
      <c r="E11" s="34">
        <f t="array" aca="1" ref="E11" ca="1">IFERROR(INDEX(Input!$Q:$Q,MATCH(CONCATENATE($A$1,"_Sunday League_",$L$1,"_",$A11),Input!$I:$I,0)),"")</f>
        <v>2.01041666666666E-2</v>
      </c>
      <c r="F11" s="14">
        <f t="array" aca="1" ref="F11" ca="1">IFERROR(INDEX(Input!$AF:$AF,MATCH(CONCATENATE($A$1,"_Sunday League_",$L$1,"_",$A11),Input!$I:$I,0)),"")</f>
        <v>4</v>
      </c>
      <c r="G11" s="34">
        <f t="array" aca="1" ref="G11" ca="1">IFERROR(INDEX(Input!$T:$T,MATCH(CONCATENATE($A$1,"_Sunday League_",$L$1,"_",$A11),Input!$I:$I,0)),"")</f>
        <v>1.3368E-2</v>
      </c>
      <c r="H11" s="14">
        <f t="array" aca="1" ref="H11" ca="1">IFERROR(INDEX(Input!$U:$U,MATCH(CONCATENATE($A$1,"_Sunday League_",$L$1,"_",$A11),Input!$I:$I,0)),"")</f>
        <v>9</v>
      </c>
      <c r="I11" s="34">
        <f t="array" aca="1" ref="I11" ca="1">IF(OR($D11="Vet",$D11="Woman Vet"),INDEX(Input!$W:$W,MATCH(CONCATENATE($A$1,"_Sunday League_",$L$1,"_",$A11),Input!$I:$I,0)),"")</f>
        <v>1.9340277777777699E-2</v>
      </c>
      <c r="J11" s="14">
        <f t="array" aca="1" ref="J11" ca="1">IF(OR($D11="Vet",$D11="Woman Vet"),INDEX(Input!$X:$X,MATCH(CONCATENATE($A$1,"_Sunday League_",$L$1,"_",$A11),Input!$I:$I,0)),"")</f>
        <v>9</v>
      </c>
      <c r="K11" s="35" t="str">
        <f t="array" aca="1" ref="K11" ca="1">IFERROR(INDEX(Input!$R:$R,MATCH(CONCATENATE($A$1,"_Sunday League_",$L$1,"_",$A11),Input!$I:$I,0)),"")</f>
        <v>Non-aero</v>
      </c>
    </row>
    <row r="12" spans="1:12" ht="12.75" x14ac:dyDescent="0.2">
      <c r="A12" s="14">
        <f t="shared" si="1"/>
        <v>9</v>
      </c>
      <c r="B12" s="13" t="str">
        <f t="array" aca="1" ref="B12" ca="1">IFERROR(INDEX(Input!$O:$O,MATCH(CONCATENATE($A$1,"_Sunday League_",$L$1,"_",$A12),Input!$I:$I,0)),"")</f>
        <v>Stuart Jago</v>
      </c>
      <c r="C12" s="14" t="str">
        <f t="shared" ca="1" si="0"/>
        <v>SW</v>
      </c>
      <c r="D12" s="14" t="str">
        <f t="array" aca="1" ref="D12" ca="1">IFERROR(INDEX(Input!$P:$P,MATCH(CONCATENATE($A$1,"_Sunday League_",$L$1,"_",$A12),Input!$I:$I,0)),"")</f>
        <v>Vet</v>
      </c>
      <c r="E12" s="34">
        <f t="array" aca="1" ref="E12" ca="1">IFERROR(INDEX(Input!$Q:$Q,MATCH(CONCATENATE($A$1,"_Sunday League_",$L$1,"_",$A12),Input!$I:$I,0)),"")</f>
        <v>2.0775462962962898E-2</v>
      </c>
      <c r="F12" s="14" t="str">
        <f t="array" aca="1" ref="F12" ca="1">IFERROR(INDEX(Input!$AF:$AF,MATCH(CONCATENATE($A$1,"_Sunday League_",$L$1,"_",$A12),Input!$I:$I,0)),"")</f>
        <v/>
      </c>
      <c r="G12" s="34">
        <f t="array" aca="1" ref="G12" ca="1">IFERROR(INDEX(Input!$T:$T,MATCH(CONCATENATE($A$1,"_Sunday League_",$L$1,"_",$A12),Input!$I:$I,0)),"")</f>
        <v>1.2626999999999999E-2</v>
      </c>
      <c r="H12" s="14">
        <f t="array" aca="1" ref="H12" ca="1">IFERROR(INDEX(Input!$U:$U,MATCH(CONCATENATE($A$1,"_Sunday League_",$L$1,"_",$A12),Input!$I:$I,0)),"")</f>
        <v>5</v>
      </c>
      <c r="I12" s="34">
        <f t="array" aca="1" ref="I12" ca="1">IF(OR($D12="Vet",$D12="Woman Vet"),INDEX(Input!$W:$W,MATCH(CONCATENATE($A$1,"_Sunday League_",$L$1,"_",$A12),Input!$I:$I,0)),"")</f>
        <v>1.7939814814814801E-2</v>
      </c>
      <c r="J12" s="14">
        <f t="array" aca="1" ref="J12" ca="1">IF(OR($D12="Vet",$D12="Woman Vet"),INDEX(Input!$X:$X,MATCH(CONCATENATE($A$1,"_Sunday League_",$L$1,"_",$A12),Input!$I:$I,0)),"")</f>
        <v>6</v>
      </c>
      <c r="K12" s="35" t="str">
        <f t="array" aca="1" ref="K12" ca="1">IFERROR(INDEX(Input!$R:$R,MATCH(CONCATENATE($A$1,"_Sunday League_",$L$1,"_",$A12),Input!$I:$I,0)),"")</f>
        <v/>
      </c>
    </row>
    <row r="13" spans="1:12" ht="12.75" x14ac:dyDescent="0.2">
      <c r="A13" s="14">
        <f t="shared" si="1"/>
        <v>10</v>
      </c>
      <c r="B13" s="13" t="str">
        <f t="array" aca="1" ref="B13" ca="1">IFERROR(INDEX(Input!$O:$O,MATCH(CONCATENATE($A$1,"_Sunday League_",$L$1,"_",$A13),Input!$I:$I,0)),"")</f>
        <v>Simon Gretton</v>
      </c>
      <c r="C13" s="14" t="str">
        <f t="shared" ca="1" si="0"/>
        <v>SW</v>
      </c>
      <c r="D13" s="14" t="str">
        <f t="array" aca="1" ref="D13" ca="1">IFERROR(INDEX(Input!$P:$P,MATCH(CONCATENATE($A$1,"_Sunday League_",$L$1,"_",$A13),Input!$I:$I,0)),"")</f>
        <v>Vet</v>
      </c>
      <c r="E13" s="34">
        <f t="array" aca="1" ref="E13" ca="1">IFERROR(INDEX(Input!$Q:$Q,MATCH(CONCATENATE($A$1,"_Sunday League_",$L$1,"_",$A13),Input!$I:$I,0)),"")</f>
        <v>2.1157407407407399E-2</v>
      </c>
      <c r="F13" s="14">
        <f t="array" aca="1" ref="F13" ca="1">IFERROR(INDEX(Input!$AF:$AF,MATCH(CONCATENATE($A$1,"_Sunday League_",$L$1,"_",$A13),Input!$I:$I,0)),"")</f>
        <v>5</v>
      </c>
      <c r="G13" s="34">
        <f t="array" aca="1" ref="G13" ca="1">IFERROR(INDEX(Input!$T:$T,MATCH(CONCATENATE($A$1,"_Sunday League_",$L$1,"_",$A13),Input!$I:$I,0)),"")</f>
        <v>1.1771E-2</v>
      </c>
      <c r="H13" s="14">
        <f t="array" aca="1" ref="H13" ca="1">IFERROR(INDEX(Input!$U:$U,MATCH(CONCATENATE($A$1,"_Sunday League_",$L$1,"_",$A13),Input!$I:$I,0)),"")</f>
        <v>1</v>
      </c>
      <c r="I13" s="34">
        <f t="array" aca="1" ref="I13" ca="1">IF(OR($D13="Vet",$D13="Woman Vet"),INDEX(Input!$W:$W,MATCH(CONCATENATE($A$1,"_Sunday League_",$L$1,"_",$A13),Input!$I:$I,0)),"")</f>
        <v>1.7627314814814801E-2</v>
      </c>
      <c r="J13" s="14">
        <f t="array" aca="1" ref="J13" ca="1">IF(OR($D13="Vet",$D13="Woman Vet"),INDEX(Input!$X:$X,MATCH(CONCATENATE($A$1,"_Sunday League_",$L$1,"_",$A13),Input!$I:$I,0)),"")</f>
        <v>3</v>
      </c>
      <c r="K13" s="35" t="str">
        <f t="array" aca="1" ref="K13" ca="1">IFERROR(INDEX(Input!$R:$R,MATCH(CONCATENATE($A$1,"_Sunday League_",$L$1,"_",$A13),Input!$I:$I,0)),"")</f>
        <v>Non-aero PB</v>
      </c>
    </row>
    <row r="14" spans="1:12" ht="12.75" x14ac:dyDescent="0.2">
      <c r="A14" s="14">
        <f t="shared" si="1"/>
        <v>11</v>
      </c>
      <c r="B14" s="13" t="str">
        <f t="array" aca="1" ref="B14" ca="1">IFERROR(INDEX(Input!$O:$O,MATCH(CONCATENATE($A$1,"_Sunday League_",$L$1,"_",$A14),Input!$I:$I,0)),"")</f>
        <v>Carol Cartwright</v>
      </c>
      <c r="C14" s="14" t="str">
        <f t="shared" ca="1" si="0"/>
        <v>SW</v>
      </c>
      <c r="D14" s="14" t="str">
        <f t="array" aca="1" ref="D14" ca="1">IFERROR(INDEX(Input!$P:$P,MATCH(CONCATENATE($A$1,"_Sunday League_",$L$1,"_",$A14),Input!$I:$I,0)),"")</f>
        <v>Woman Vet</v>
      </c>
      <c r="E14" s="34">
        <f t="array" aca="1" ref="E14" ca="1">IFERROR(INDEX(Input!$Q:$Q,MATCH(CONCATENATE($A$1,"_Sunday League_",$L$1,"_",$A14),Input!$I:$I,0)),"")</f>
        <v>2.3425925925925899E-2</v>
      </c>
      <c r="F14" s="14">
        <f t="array" aca="1" ref="F14" ca="1">IFERROR(INDEX(Input!$AF:$AF,MATCH(CONCATENATE($A$1,"_Sunday League_",$L$1,"_",$A14),Input!$I:$I,0)),"")</f>
        <v>6</v>
      </c>
      <c r="G14" s="34">
        <f t="array" aca="1" ref="G14" ca="1">IFERROR(INDEX(Input!$T:$T,MATCH(CONCATENATE($A$1,"_Sunday League_",$L$1,"_",$A14),Input!$I:$I,0)),"")</f>
        <v>1.3206000000000001E-2</v>
      </c>
      <c r="H14" s="14">
        <f t="array" aca="1" ref="H14" ca="1">IFERROR(INDEX(Input!$U:$U,MATCH(CONCATENATE($A$1,"_Sunday League_",$L$1,"_",$A14),Input!$I:$I,0)),"")</f>
        <v>7</v>
      </c>
      <c r="I14" s="34">
        <f t="array" aca="1" ref="I14" ca="1">IF(OR($D14="Vet",$D14="Woman Vet"),INDEX(Input!$W:$W,MATCH(CONCATENATE($A$1,"_Sunday League_",$L$1,"_",$A14),Input!$I:$I,0)),"")</f>
        <v>1.8576388888888799E-2</v>
      </c>
      <c r="J14" s="14">
        <f t="array" aca="1" ref="J14" ca="1">IF(OR($D14="Vet",$D14="Woman Vet"),INDEX(Input!$X:$X,MATCH(CONCATENATE($A$1,"_Sunday League_",$L$1,"_",$A14),Input!$I:$I,0)),"")</f>
        <v>7</v>
      </c>
      <c r="K14" s="35" t="str">
        <f t="array" aca="1" ref="K14" ca="1">IFERROR(INDEX(Input!$R:$R,MATCH(CONCATENATE($A$1,"_Sunday League_",$L$1,"_",$A14),Input!$I:$I,0)),"")</f>
        <v>Non-aero</v>
      </c>
    </row>
    <row r="15" spans="1:12" ht="12.75" x14ac:dyDescent="0.2">
      <c r="A15" s="14">
        <f t="shared" si="1"/>
        <v>12</v>
      </c>
      <c r="B15" s="13" t="str">
        <f t="array" aca="1" ref="B15" ca="1">IFERROR(INDEX(Input!$O:$O,MATCH(CONCATENATE($A$1,"_Sunday League_",$L$1,"_",$A15),Input!$I:$I,0)),"")</f>
        <v>Elaine Cotton</v>
      </c>
      <c r="C15" s="14" t="str">
        <f t="shared" ca="1" si="0"/>
        <v>SW</v>
      </c>
      <c r="D15" s="14" t="str">
        <f t="array" aca="1" ref="D15" ca="1">IFERROR(INDEX(Input!$P:$P,MATCH(CONCATENATE($A$1,"_Sunday League_",$L$1,"_",$A15),Input!$I:$I,0)),"")</f>
        <v>Woman Vet</v>
      </c>
      <c r="E15" s="34">
        <f t="array" aca="1" ref="E15" ca="1">IFERROR(INDEX(Input!$Q:$Q,MATCH(CONCATENATE($A$1,"_Sunday League_",$L$1,"_",$A15),Input!$I:$I,0)),"")</f>
        <v>2.4479166666666601E-2</v>
      </c>
      <c r="F15" s="14">
        <f t="array" aca="1" ref="F15" ca="1">IFERROR(INDEX(Input!$AF:$AF,MATCH(CONCATENATE($A$1,"_Sunday League_",$L$1,"_",$A15),Input!$I:$I,0)),"")</f>
        <v>7</v>
      </c>
      <c r="G15" s="34">
        <f t="array" aca="1" ref="G15" ca="1">IFERROR(INDEX(Input!$T:$T,MATCH(CONCATENATE($A$1,"_Sunday League_",$L$1,"_",$A15),Input!$I:$I,0)),"")</f>
        <v>1.3472E-2</v>
      </c>
      <c r="H15" s="14">
        <f t="array" aca="1" ref="H15" ca="1">IFERROR(INDEX(Input!$U:$U,MATCH(CONCATENATE($A$1,"_Sunday League_",$L$1,"_",$A15),Input!$I:$I,0)),"")</f>
        <v>10</v>
      </c>
      <c r="I15" s="34">
        <f t="array" aca="1" ref="I15" ca="1">IF(OR($D15="Vet",$D15="Woman Vet"),INDEX(Input!$W:$W,MATCH(CONCATENATE($A$1,"_Sunday League_",$L$1,"_",$A15),Input!$I:$I,0)),"")</f>
        <v>2.16550925925925E-2</v>
      </c>
      <c r="J15" s="14">
        <f t="array" aca="1" ref="J15" ca="1">IF(OR($D15="Vet",$D15="Woman Vet"),INDEX(Input!$X:$X,MATCH(CONCATENATE($A$1,"_Sunday League_",$L$1,"_",$A15),Input!$I:$I,0)),"")</f>
        <v>10</v>
      </c>
      <c r="K15" s="35" t="str">
        <f t="array" aca="1" ref="K15" ca="1">IFERROR(INDEX(Input!$R:$R,MATCH(CONCATENATE($A$1,"_Sunday League_",$L$1,"_",$A15),Input!$I:$I,0)),"")</f>
        <v>Non-aero</v>
      </c>
    </row>
    <row r="16" spans="1:12" ht="12.75" x14ac:dyDescent="0.2">
      <c r="A16" s="14">
        <f t="shared" si="1"/>
        <v>13</v>
      </c>
      <c r="B16" s="13" t="str">
        <f t="array" aca="1" ref="B16" ca="1">IFERROR(INDEX(Input!$O:$O,MATCH(CONCATENATE($A$1,"_Sunday League_",$L$1,"_",$A16),Input!$I:$I,0)),"")</f>
        <v>Kevin Smith</v>
      </c>
      <c r="C16" s="14" t="str">
        <f t="shared" ca="1" si="0"/>
        <v>SW</v>
      </c>
      <c r="D16" s="14" t="str">
        <f t="array" aca="1" ref="D16" ca="1">IFERROR(INDEX(Input!$P:$P,MATCH(CONCATENATE($A$1,"_Sunday League_",$L$1,"_",$A16),Input!$I:$I,0)),"")</f>
        <v>Vet</v>
      </c>
      <c r="E16" s="34">
        <f t="array" aca="1" ref="E16" ca="1">IFERROR(INDEX(Input!$Q:$Q,MATCH(CONCATENATE($A$1,"_Sunday League_",$L$1,"_",$A16),Input!$I:$I,0)),"")</f>
        <v>2.4803240740740699E-2</v>
      </c>
      <c r="F16" s="14">
        <f t="array" aca="1" ref="F16" ca="1">IFERROR(INDEX(Input!$AF:$AF,MATCH(CONCATENATE($A$1,"_Sunday League_",$L$1,"_",$A16),Input!$I:$I,0)),"")</f>
        <v>8</v>
      </c>
      <c r="G16" s="34">
        <f t="array" aca="1" ref="G16" ca="1">IFERROR(INDEX(Input!$T:$T,MATCH(CONCATENATE($A$1,"_Sunday League_",$L$1,"_",$A16),Input!$I:$I,0)),"")</f>
        <v>1.3299E-2</v>
      </c>
      <c r="H16" s="14">
        <f t="array" aca="1" ref="H16" ca="1">IFERROR(INDEX(Input!$U:$U,MATCH(CONCATENATE($A$1,"_Sunday League_",$L$1,"_",$A16),Input!$I:$I,0)),"")</f>
        <v>8</v>
      </c>
      <c r="I16" s="34">
        <f t="array" aca="1" ref="I16" ca="1">IF(OR($D16="Vet",$D16="Woman Vet"),INDEX(Input!$W:$W,MATCH(CONCATENATE($A$1,"_Sunday League_",$L$1,"_",$A16),Input!$I:$I,0)),"")</f>
        <v>2.3067129629629601E-2</v>
      </c>
      <c r="J16" s="14">
        <f t="array" aca="1" ref="J16" ca="1">IF(OR($D16="Vet",$D16="Woman Vet"),INDEX(Input!$X:$X,MATCH(CONCATENATE($A$1,"_Sunday League_",$L$1,"_",$A16),Input!$I:$I,0)),"")</f>
        <v>11</v>
      </c>
      <c r="K16" s="35" t="str">
        <f t="array" aca="1" ref="K16" ca="1">IFERROR(INDEX(Input!$R:$R,MATCH(CONCATENATE($A$1,"_Sunday League_",$L$1,"_",$A16),Input!$I:$I,0)),"")</f>
        <v>Non-aero</v>
      </c>
    </row>
    <row r="17" spans="1:11" ht="12.75" x14ac:dyDescent="0.2">
      <c r="A17" s="14"/>
      <c r="B17" s="13" t="s">
        <v>12</v>
      </c>
      <c r="C17" s="14" t="s">
        <v>114</v>
      </c>
      <c r="D17" s="14" t="s">
        <v>44</v>
      </c>
      <c r="E17" s="14" t="s">
        <v>115</v>
      </c>
      <c r="F17" s="14"/>
      <c r="G17" s="34"/>
      <c r="H17" s="14"/>
      <c r="I17" s="14"/>
      <c r="J17" s="14"/>
      <c r="K17" s="35"/>
    </row>
    <row r="18" spans="1:11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13" t="s">
        <v>116</v>
      </c>
      <c r="C19" s="14" t="s">
        <v>83</v>
      </c>
      <c r="D19" s="14"/>
      <c r="E19" s="34">
        <v>2.1226851851851851E-2</v>
      </c>
      <c r="F19" s="34"/>
      <c r="G19" s="34"/>
      <c r="H19" s="14"/>
      <c r="I19" s="14"/>
      <c r="J19" s="14"/>
      <c r="K19" s="35"/>
    </row>
    <row r="20" spans="1:11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13"/>
      <c r="C22" s="14"/>
      <c r="D22" s="14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2">
    <mergeCell ref="A1:K1"/>
    <mergeCell ref="A2:K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L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45809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16">
        <v>10</v>
      </c>
    </row>
    <row r="2" spans="1:12" ht="18" x14ac:dyDescent="0.25">
      <c r="A2" s="47" t="s">
        <v>117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1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Marc Brant</v>
      </c>
      <c r="C4" s="14" t="str">
        <f t="shared" ref="C4:C7" ca="1" si="0">IF(B4="","","SW")</f>
        <v>SW</v>
      </c>
      <c r="D4" s="14" t="str">
        <f t="array" aca="1" ref="D4" ca="1">IFERROR(INDEX(Input!$P:$P,MATCH(CONCATENATE($A$1,"_Sunday League_",$L$1,"_",$A4),Input!$I:$I,0)),"")</f>
        <v>Vet</v>
      </c>
      <c r="E4" s="34">
        <f t="array" aca="1" ref="E4" ca="1">IFERROR(INDEX(Input!$Q:$Q,MATCH(CONCATENATE($A$1,"_Sunday League_",$L$1,"_",$A4),Input!$I:$I,0)),"")</f>
        <v>1.6967592592592499E-2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1.1898000000000001E-2</v>
      </c>
      <c r="H4" s="14">
        <f t="array" aca="1" ref="H4" ca="1">IFERROR(INDEX(Input!$U:$U,MATCH(CONCATENATE($A$1,"_Sunday League_",$L$1,"_",$A4),Input!$I:$I,0)),"")</f>
        <v>2</v>
      </c>
      <c r="I4" s="34">
        <f t="array" aca="1" ref="I4" ca="1">IF(OR($D4="Vet",$D4="Woman Vet"),INDEX(Input!$W:$W,MATCH(CONCATENATE($A$1,"_Sunday League_",$L$1,"_",$A4),Input!$I:$I,0)),"")</f>
        <v>1.6423611111111101E-2</v>
      </c>
      <c r="J4" s="14">
        <f t="array" aca="1" ref="J4" ca="1">IF(OR($D4="Vet",$D4="Woman Vet"),INDEX(Input!$X:$X,MATCH(CONCATENATE($A$1,"_Sunday League_",$L$1,"_",$A4),Input!$I:$I,0)),"")</f>
        <v>2</v>
      </c>
      <c r="K4" s="35" t="str">
        <f t="array" aca="1" ref="K4" ca="1">IFERROR(INDEX(Input!$R:$R,MATCH(CONCATENATE($A$1,"_Sunday League_",$L$1,"_",$A4),Input!$I:$I,0)),"")</f>
        <v>CB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v>2</v>
      </c>
      <c r="B5" s="13" t="str">
        <f t="array" aca="1" ref="B5" ca="1">IFERROR(INDEX(Input!$O:$O,MATCH(CONCATENATE($A$1,"_Sunday League_",$L$1,"_",$A5),Input!$I:$I,0)),"")</f>
        <v>Philip Brant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Vet</v>
      </c>
      <c r="E5" s="34">
        <f t="array" aca="1" ref="E5" ca="1">IFERROR(INDEX(Input!$Q:$Q,MATCH(CONCATENATE($A$1,"_Sunday League_",$L$1,"_",$A5),Input!$I:$I,0)),"")</f>
        <v>1.7048611111111101E-2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1.1505E-2</v>
      </c>
      <c r="H5" s="14">
        <f t="array" aca="1" ref="H5" ca="1">IFERROR(INDEX(Input!$U:$U,MATCH(CONCATENATE($A$1,"_Sunday League_",$L$1,"_",$A5),Input!$I:$I,0)),"")</f>
        <v>1</v>
      </c>
      <c r="I5" s="34">
        <f t="array" aca="1" ref="I5" ca="1">IF(OR($D5="Vet",$D5="Woman Vet"),INDEX(Input!$W:$W,MATCH(CONCATENATE($A$1,"_Sunday League_",$L$1,"_",$A5),Input!$I:$I,0)),"")</f>
        <v>1.45254629629629E-2</v>
      </c>
      <c r="J5" s="14">
        <f t="array" aca="1" ref="J5" ca="1">IF(OR($D5="Vet",$D5="Woman Vet"),INDEX(Input!$X:$X,MATCH(CONCATENATE($A$1,"_Sunday League_",$L$1,"_",$A5),Input!$I:$I,0)),"")</f>
        <v>1</v>
      </c>
      <c r="K5" s="35" t="str">
        <f t="array" aca="1" ref="K5" ca="1">IFERROR(INDEX(Input!$R:$R,MATCH(CONCATENATE($A$1,"_Sunday League_",$L$1,"_",$A5),Input!$I:$I,0)),"")</f>
        <v>PB</v>
      </c>
      <c r="L5" s="16"/>
    </row>
    <row r="6" spans="1:12" ht="12.75" x14ac:dyDescent="0.2">
      <c r="A6" s="14">
        <v>3</v>
      </c>
      <c r="B6" s="13" t="str">
        <f t="array" aca="1" ref="B6" ca="1">IFERROR(INDEX(Input!$O:$O,MATCH(CONCATENATE($A$1,"_Sunday League_",$L$1,"_",$A6),Input!$I:$I,0)),"")</f>
        <v>David Carey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1.72106481481481E-2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1.2836E-2</v>
      </c>
      <c r="H6" s="14">
        <f t="array" aca="1" ref="H6" ca="1">IFERROR(INDEX(Input!$U:$U,MATCH(CONCATENATE($A$1,"_Sunday League_",$L$1,"_",$A6),Input!$I:$I,0)),"")</f>
        <v>3</v>
      </c>
      <c r="I6" s="34">
        <f t="array" aca="1" ref="I6" ca="1">IF(OR($D6="Vet",$D6="Woman Vet"),INDEX(Input!$W:$W,MATCH(CONCATENATE($A$1,"_Sunday League_",$L$1,"_",$A6),Input!$I:$I,0)),"")</f>
        <v>1.65277777777777E-2</v>
      </c>
      <c r="J6" s="14">
        <f t="array" aca="1" ref="J6" ca="1">IF(OR($D6="Vet",$D6="Woman Vet"),INDEX(Input!$X:$X,MATCH(CONCATENATE($A$1,"_Sunday League_",$L$1,"_",$A6),Input!$I:$I,0)),"")</f>
        <v>3</v>
      </c>
      <c r="K6" s="35" t="str">
        <f t="array" aca="1" ref="K6" ca="1">IFERROR(INDEX(Input!$R:$R,MATCH(CONCATENATE($A$1,"_Sunday League_",$L$1,"_",$A6),Input!$I:$I,0)),"")</f>
        <v/>
      </c>
      <c r="L6" s="16"/>
    </row>
    <row r="7" spans="1:12" ht="12.75" x14ac:dyDescent="0.2">
      <c r="A7" s="14">
        <v>4</v>
      </c>
      <c r="B7" s="13" t="str">
        <f t="array" aca="1" ref="B7" ca="1">IFERROR(INDEX(Input!$O:$O,MATCH(CONCATENATE($A$1,"_Sunday League_",$L$1,"_",$A7),Input!$I:$I,0)),"")</f>
        <v>Paul Gribbon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1.84143518518518E-2</v>
      </c>
      <c r="F7" s="14" t="str">
        <f t="array" aca="1" ref="F7" ca="1">IFERROR(INDEX(Input!$AF:$AF,MATCH(CONCATENATE($A$1,"_Sunday League_",$L$1,"_",$A7),Input!$I:$I,0)),"")</f>
        <v/>
      </c>
      <c r="G7" s="34">
        <f t="array" aca="1" ref="G7" ca="1">IFERROR(INDEX(Input!$T:$T,MATCH(CONCATENATE($A$1,"_Sunday League_",$L$1,"_",$A7),Input!$I:$I,0)),"")</f>
        <v>1.3808000000000001E-2</v>
      </c>
      <c r="H7" s="14">
        <f t="array" aca="1" ref="H7" ca="1">IFERROR(INDEX(Input!$U:$U,MATCH(CONCATENATE($A$1,"_Sunday League_",$L$1,"_",$A7),Input!$I:$I,0)),"")</f>
        <v>4</v>
      </c>
      <c r="I7" s="34">
        <f t="array" aca="1" ref="I7" ca="1">IF(OR($D7="Vet",$D7="Woman Vet"),INDEX(Input!$W:$W,MATCH(CONCATENATE($A$1,"_Sunday League_",$L$1,"_",$A7),Input!$I:$I,0)),"")</f>
        <v>1.77314814814814E-2</v>
      </c>
      <c r="J7" s="14">
        <f t="array" aca="1" ref="J7" ca="1">IF(OR($D7="Vet",$D7="Woman Vet"),INDEX(Input!$X:$X,MATCH(CONCATENATE($A$1,"_Sunday League_",$L$1,"_",$A7),Input!$I:$I,0)),"")</f>
        <v>4</v>
      </c>
      <c r="K7" s="35" t="str">
        <f t="array" aca="1" ref="K7" ca="1">IFERROR(INDEX(Input!$R:$R,MATCH(CONCATENATE($A$1,"_Sunday League_",$L$1,"_",$A7),Input!$I:$I,0)),"")</f>
        <v>CB</v>
      </c>
      <c r="L7" s="16"/>
    </row>
    <row r="8" spans="1:12" ht="12.75" x14ac:dyDescent="0.2">
      <c r="A8" s="14"/>
      <c r="B8" s="13"/>
      <c r="C8" s="14"/>
      <c r="D8" s="14"/>
      <c r="E8" s="34"/>
      <c r="F8" s="14"/>
      <c r="G8" s="34"/>
      <c r="H8" s="14"/>
      <c r="I8" s="14"/>
      <c r="J8" s="14"/>
      <c r="K8" s="35"/>
      <c r="L8" s="16"/>
    </row>
    <row r="9" spans="1:12" ht="12.75" x14ac:dyDescent="0.2">
      <c r="A9" s="14"/>
      <c r="B9" s="37" t="s">
        <v>58</v>
      </c>
      <c r="C9" s="14"/>
      <c r="D9" s="14"/>
      <c r="E9" s="34"/>
      <c r="F9" s="34"/>
      <c r="G9" s="34"/>
      <c r="H9" s="14"/>
      <c r="I9" s="14"/>
      <c r="J9" s="14"/>
      <c r="K9" s="35"/>
      <c r="L9" s="16"/>
    </row>
    <row r="10" spans="1:12" ht="12.75" x14ac:dyDescent="0.2">
      <c r="A10" s="14"/>
      <c r="B10" s="13" t="s">
        <v>118</v>
      </c>
      <c r="C10" s="48" t="s">
        <v>119</v>
      </c>
      <c r="D10" s="49"/>
      <c r="E10" s="34">
        <v>1.4328703703703703E-2</v>
      </c>
      <c r="F10" s="34"/>
      <c r="G10" s="34"/>
      <c r="H10" s="14"/>
      <c r="I10" s="14"/>
      <c r="J10" s="14"/>
      <c r="K10" s="35" t="s">
        <v>61</v>
      </c>
      <c r="L10" s="16"/>
    </row>
    <row r="11" spans="1:12" ht="12.75" x14ac:dyDescent="0.2">
      <c r="A11" s="14"/>
      <c r="B11" s="13" t="s">
        <v>84</v>
      </c>
      <c r="C11" s="48" t="s">
        <v>74</v>
      </c>
      <c r="D11" s="49"/>
      <c r="E11" s="34">
        <v>1.5578703703703704E-2</v>
      </c>
      <c r="F11" s="34"/>
      <c r="G11" s="34"/>
      <c r="H11" s="14"/>
      <c r="I11" s="14"/>
      <c r="J11" s="14"/>
      <c r="K11" s="35" t="s">
        <v>64</v>
      </c>
      <c r="L11" s="16"/>
    </row>
    <row r="12" spans="1:12" ht="12.75" x14ac:dyDescent="0.2">
      <c r="A12" s="14"/>
      <c r="B12" s="13" t="s">
        <v>120</v>
      </c>
      <c r="C12" s="48" t="s">
        <v>78</v>
      </c>
      <c r="D12" s="49"/>
      <c r="E12" s="34">
        <v>1.5682870370370371E-2</v>
      </c>
      <c r="F12" s="34"/>
      <c r="G12" s="34"/>
      <c r="H12" s="14"/>
      <c r="I12" s="14"/>
      <c r="J12" s="14"/>
      <c r="K12" s="35"/>
      <c r="L12" s="16"/>
    </row>
    <row r="13" spans="1:12" ht="12.75" x14ac:dyDescent="0.2">
      <c r="A13" s="14"/>
      <c r="B13" s="13" t="s">
        <v>77</v>
      </c>
      <c r="C13" s="48"/>
      <c r="D13" s="49"/>
      <c r="E13" s="34">
        <v>1.6851851851851851E-2</v>
      </c>
      <c r="F13" s="34"/>
      <c r="G13" s="34"/>
      <c r="H13" s="14"/>
      <c r="I13" s="14"/>
      <c r="J13" s="14"/>
      <c r="K13" s="35"/>
      <c r="L13" s="16"/>
    </row>
    <row r="14" spans="1:12" ht="12.75" x14ac:dyDescent="0.2">
      <c r="A14" s="14"/>
      <c r="B14" s="13" t="s">
        <v>121</v>
      </c>
      <c r="C14" s="48" t="s">
        <v>74</v>
      </c>
      <c r="D14" s="49"/>
      <c r="E14" s="34">
        <v>1.7951388888888888E-2</v>
      </c>
      <c r="F14" s="34"/>
      <c r="G14" s="34"/>
      <c r="H14" s="14"/>
      <c r="I14" s="14"/>
      <c r="J14" s="14"/>
      <c r="K14" s="35" t="s">
        <v>67</v>
      </c>
      <c r="L14" s="16"/>
    </row>
    <row r="15" spans="1:12" ht="12.75" x14ac:dyDescent="0.2">
      <c r="A15" s="14"/>
      <c r="B15" s="13"/>
      <c r="C15" s="14"/>
      <c r="D15" s="14"/>
      <c r="E15" s="34"/>
      <c r="F15" s="34"/>
      <c r="G15" s="34"/>
      <c r="H15" s="14"/>
      <c r="I15" s="14"/>
      <c r="J15" s="14"/>
      <c r="K15" s="35"/>
      <c r="L15" s="16"/>
    </row>
    <row r="16" spans="1:12" ht="12.75" x14ac:dyDescent="0.2">
      <c r="A16" s="14"/>
      <c r="B16" s="13"/>
      <c r="C16" s="14"/>
      <c r="D16" s="14"/>
      <c r="E16" s="34"/>
      <c r="F16" s="34"/>
      <c r="G16" s="34"/>
      <c r="H16" s="14"/>
      <c r="I16" s="14"/>
      <c r="J16" s="14"/>
      <c r="K16" s="35"/>
      <c r="L16" s="16"/>
    </row>
    <row r="17" spans="1:12" ht="12.75" x14ac:dyDescent="0.2">
      <c r="A17" s="14"/>
      <c r="B17" s="13"/>
      <c r="C17" s="14"/>
      <c r="D17" s="14"/>
      <c r="E17" s="34"/>
      <c r="F17" s="34"/>
      <c r="G17" s="34"/>
      <c r="H17" s="14"/>
      <c r="I17" s="14"/>
      <c r="J17" s="14"/>
      <c r="K17" s="35"/>
      <c r="L17" s="16"/>
    </row>
    <row r="18" spans="1:12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14"/>
      <c r="K18" s="35"/>
      <c r="L18" s="16"/>
    </row>
    <row r="19" spans="1:12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14"/>
      <c r="K19" s="35"/>
      <c r="L19" s="16"/>
    </row>
    <row r="20" spans="1:12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  <c r="L20" s="16"/>
    </row>
    <row r="21" spans="1:12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  <c r="L21" s="16"/>
    </row>
    <row r="22" spans="1:12" ht="12.75" x14ac:dyDescent="0.2">
      <c r="A22" s="14"/>
      <c r="B22" s="13"/>
      <c r="C22" s="14"/>
      <c r="D22" s="14"/>
      <c r="E22" s="34"/>
      <c r="F22" s="34"/>
      <c r="G22" s="34"/>
      <c r="H22" s="14"/>
      <c r="I22" s="14"/>
      <c r="J22" s="14"/>
      <c r="K22" s="35"/>
      <c r="L22" s="16"/>
    </row>
    <row r="23" spans="1:12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  <c r="L23" s="16"/>
    </row>
    <row r="24" spans="1:12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  <c r="L24" s="16"/>
    </row>
    <row r="25" spans="1:12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  <c r="L25" s="16"/>
    </row>
    <row r="26" spans="1:12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  <c r="L26" s="16"/>
    </row>
    <row r="27" spans="1:12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  <c r="L27" s="16"/>
    </row>
    <row r="28" spans="1:12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  <c r="L28" s="16"/>
    </row>
    <row r="29" spans="1:12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  <c r="L29" s="16"/>
    </row>
    <row r="30" spans="1:12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  <c r="L30" s="16"/>
    </row>
    <row r="31" spans="1:12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  <c r="L31" s="16"/>
    </row>
    <row r="32" spans="1:12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  <c r="L32" s="16"/>
    </row>
    <row r="33" spans="1:12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  <c r="L33" s="16"/>
    </row>
  </sheetData>
  <mergeCells count="7">
    <mergeCell ref="C13:D13"/>
    <mergeCell ref="C14:D14"/>
    <mergeCell ref="A1:K1"/>
    <mergeCell ref="A2:K2"/>
    <mergeCell ref="C10:D10"/>
    <mergeCell ref="C11:D11"/>
    <mergeCell ref="C12:D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L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45837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50</v>
      </c>
    </row>
    <row r="2" spans="1:12" ht="18" x14ac:dyDescent="0.25">
      <c r="A2" s="47" t="s">
        <v>122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Henry O'Kill</v>
      </c>
      <c r="C4" s="14" t="str">
        <f t="shared" ref="C4:C10" ca="1" si="0">IF(B4="","","SW")</f>
        <v>SW</v>
      </c>
      <c r="D4" s="14" t="str">
        <f t="array" aca="1" ref="D4" ca="1">IFERROR(INDEX(Input!$P:$P,MATCH(CONCATENATE($A$1,"_Sunday League_",$L$1,"_",$A4),Input!$I:$I,0)),"")</f>
        <v>Senior</v>
      </c>
      <c r="E4" s="34">
        <f t="array" aca="1" ref="E4" ca="1">IFERROR(INDEX(Input!$Q:$Q,MATCH(CONCATENATE($A$1,"_Sunday League_",$L$1,"_",$A4),Input!$I:$I,0)),"")</f>
        <v>8.1296296296296297E-2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6.3159999999999994E-2</v>
      </c>
      <c r="H4" s="14">
        <f t="array" aca="1" ref="H4" ca="1">IFERROR(INDEX(Input!$U:$U,MATCH(CONCATENATE($A$1,"_Sunday League_",$L$1,"_",$A4),Input!$I:$I,0)),"")</f>
        <v>7</v>
      </c>
      <c r="I4" s="14" t="str">
        <f t="array" aca="1" ref="I4" ca="1">IF(OR($D4="Vet",$D4="Woman Vet"),INDEX(Input!$W:$W,MATCH(CONCATENATE($A$1,"_Sunday League_",$L$1,"_",$A4),Input!$I:$I,0)),"")</f>
        <v/>
      </c>
      <c r="J4" s="14" t="str">
        <f t="array" aca="1" ref="J4" ca="1">IF(OR($D4="Vet",$D4="Woman Vet"),INDEX(Input!$X:$X,MATCH(CONCATENATE($A$1,"_Sunday League_",$L$1,"_",$A4),Input!$I:$I,0)),"")</f>
        <v/>
      </c>
      <c r="K4" s="35" t="str">
        <f t="array" aca="1" ref="K4" ca="1">IFERROR(INDEX(Input!$R:$R,MATCH(CONCATENATE($A$1,"_Sunday League_",$L$1,"_",$A4),Input!$I:$I,0)),"")</f>
        <v/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v>2</v>
      </c>
      <c r="B5" s="13" t="str">
        <f t="array" aca="1" ref="B5" ca="1">IFERROR(INDEX(Input!$O:$O,MATCH(CONCATENATE($A$1,"_Sunday League_",$L$1,"_",$A5),Input!$I:$I,0)),"")</f>
        <v>Philip Brant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Vet</v>
      </c>
      <c r="E5" s="34">
        <f t="array" aca="1" ref="E5" ca="1">IFERROR(INDEX(Input!$Q:$Q,MATCH(CONCATENATE($A$1,"_Sunday League_",$L$1,"_",$A5),Input!$I:$I,0)),"")</f>
        <v>8.9768518518518498E-2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6.1725000000000002E-2</v>
      </c>
      <c r="H5" s="14">
        <f t="array" aca="1" ref="H5" ca="1">IFERROR(INDEX(Input!$U:$U,MATCH(CONCATENATE($A$1,"_Sunday League_",$L$1,"_",$A5),Input!$I:$I,0)),"")</f>
        <v>1</v>
      </c>
      <c r="I5" s="34">
        <f t="array" aca="1" ref="I5" ca="1">IF(OR($D5="Vet",$D5="Woman Vet"),INDEX(Input!$W:$W,MATCH(CONCATENATE($A$1,"_Sunday League_",$L$1,"_",$A5),Input!$I:$I,0)),"")</f>
        <v>7.5509259259259207E-2</v>
      </c>
      <c r="J5" s="14">
        <f t="array" aca="1" ref="J5" ca="1">IF(OR($D5="Vet",$D5="Woman Vet"),INDEX(Input!$X:$X,MATCH(CONCATENATE($A$1,"_Sunday League_",$L$1,"_",$A5),Input!$I:$I,0)),"")</f>
        <v>1</v>
      </c>
      <c r="K5" s="35" t="str">
        <f t="array" aca="1" ref="K5" ca="1">IFERROR(INDEX(Input!$R:$R,MATCH(CONCATENATE($A$1,"_Sunday League_",$L$1,"_",$A5),Input!$I:$I,0)),"")</f>
        <v>PB</v>
      </c>
    </row>
    <row r="6" spans="1:12" ht="12.75" x14ac:dyDescent="0.2">
      <c r="A6" s="14">
        <v>3</v>
      </c>
      <c r="B6" s="13" t="str">
        <f t="array" aca="1" ref="B6" ca="1">IFERROR(INDEX(Input!$O:$O,MATCH(CONCATENATE($A$1,"_Sunday League_",$L$1,"_",$A6),Input!$I:$I,0)),"")</f>
        <v>David Carey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9.3738425925925906E-2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6.1978999999999999E-2</v>
      </c>
      <c r="H6" s="14">
        <f t="array" aca="1" ref="H6" ca="1">IFERROR(INDEX(Input!$U:$U,MATCH(CONCATENATE($A$1,"_Sunday League_",$L$1,"_",$A6),Input!$I:$I,0)),"")</f>
        <v>2</v>
      </c>
      <c r="I6" s="34">
        <f t="array" aca="1" ref="I6" ca="1">IF(OR($D6="Vet",$D6="Woman Vet"),INDEX(Input!$W:$W,MATCH(CONCATENATE($A$1,"_Sunday League_",$L$1,"_",$A6),Input!$I:$I,0)),"")</f>
        <v>8.99305555555555E-2</v>
      </c>
      <c r="J6" s="14">
        <f t="array" aca="1" ref="J6" ca="1">IF(OR($D6="Vet",$D6="Woman Vet"),INDEX(Input!$X:$X,MATCH(CONCATENATE($A$1,"_Sunday League_",$L$1,"_",$A6),Input!$I:$I,0)),"")</f>
        <v>3</v>
      </c>
      <c r="K6" s="35" t="str">
        <f t="array" aca="1" ref="K6" ca="1">IFERROR(INDEX(Input!$R:$R,MATCH(CONCATENATE($A$1,"_Sunday League_",$L$1,"_",$A6),Input!$I:$I,0)),"")</f>
        <v>CB</v>
      </c>
    </row>
    <row r="7" spans="1:12" ht="12.75" x14ac:dyDescent="0.2">
      <c r="A7" s="14">
        <v>4</v>
      </c>
      <c r="B7" s="13" t="str">
        <f t="array" aca="1" ref="B7" ca="1">IFERROR(INDEX(Input!$O:$O,MATCH(CONCATENATE($A$1,"_Sunday League_",$L$1,"_",$A7),Input!$I:$I,0)),"")</f>
        <v>Paul Gribbon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9.5949074074074006E-2</v>
      </c>
      <c r="F7" s="14" t="str">
        <f t="array" aca="1" ref="F7" ca="1">IFERROR(INDEX(Input!$AF:$AF,MATCH(CONCATENATE($A$1,"_Sunday League_",$L$1,"_",$A7),Input!$I:$I,0)),"")</f>
        <v/>
      </c>
      <c r="G7" s="34">
        <f t="array" aca="1" ref="G7" ca="1">IFERROR(INDEX(Input!$T:$T,MATCH(CONCATENATE($A$1,"_Sunday League_",$L$1,"_",$A7),Input!$I:$I,0)),"")</f>
        <v>6.2661999999999995E-2</v>
      </c>
      <c r="H7" s="14">
        <f t="array" aca="1" ref="H7" ca="1">IFERROR(INDEX(Input!$U:$U,MATCH(CONCATENATE($A$1,"_Sunday League_",$L$1,"_",$A7),Input!$I:$I,0)),"")</f>
        <v>6</v>
      </c>
      <c r="I7" s="34">
        <f t="array" aca="1" ref="I7" ca="1">IF(OR($D7="Vet",$D7="Woman Vet"),INDEX(Input!$W:$W,MATCH(CONCATENATE($A$1,"_Sunday League_",$L$1,"_",$A7),Input!$I:$I,0)),"")</f>
        <v>9.2141203703703697E-2</v>
      </c>
      <c r="J7" s="14">
        <f t="array" aca="1" ref="J7" ca="1">IF(OR($D7="Vet",$D7="Woman Vet"),INDEX(Input!$X:$X,MATCH(CONCATENATE($A$1,"_Sunday League_",$L$1,"_",$A7),Input!$I:$I,0)),"")</f>
        <v>5</v>
      </c>
      <c r="K7" s="35" t="str">
        <f t="array" aca="1" ref="K7" ca="1">IFERROR(INDEX(Input!$R:$R,MATCH(CONCATENATE($A$1,"_Sunday League_",$L$1,"_",$A7),Input!$I:$I,0)),"")</f>
        <v/>
      </c>
    </row>
    <row r="8" spans="1:12" ht="12.75" x14ac:dyDescent="0.2">
      <c r="A8" s="14">
        <v>5</v>
      </c>
      <c r="B8" s="13" t="str">
        <f t="array" aca="1" ref="B8" ca="1">IFERROR(INDEX(Input!$O:$O,MATCH(CONCATENATE($A$1,"_Sunday League_",$L$1,"_",$A8),Input!$I:$I,0)),"")</f>
        <v>Andy Merchant</v>
      </c>
      <c r="C8" s="14" t="str">
        <f t="shared" ca="1" si="0"/>
        <v>SW</v>
      </c>
      <c r="D8" s="14" t="str">
        <f t="array" aca="1" ref="D8" ca="1">IFERROR(INDEX(Input!$P:$P,MATCH(CONCATENATE($A$1,"_Sunday League_",$L$1,"_",$A8),Input!$I:$I,0)),"")</f>
        <v>Vet</v>
      </c>
      <c r="E8" s="34">
        <f t="array" aca="1" ref="E8" ca="1">IFERROR(INDEX(Input!$Q:$Q,MATCH(CONCATENATE($A$1,"_Sunday League_",$L$1,"_",$A8),Input!$I:$I,0)),"")</f>
        <v>9.6967592592592494E-2</v>
      </c>
      <c r="F8" s="14" t="str">
        <f t="array" aca="1" ref="F8" ca="1">IFERROR(INDEX(Input!$AF:$AF,MATCH(CONCATENATE($A$1,"_Sunday League_",$L$1,"_",$A8),Input!$I:$I,0)),"")</f>
        <v/>
      </c>
      <c r="G8" s="34">
        <f t="array" aca="1" ref="G8" ca="1">IFERROR(INDEX(Input!$T:$T,MATCH(CONCATENATE($A$1,"_Sunday League_",$L$1,"_",$A8),Input!$I:$I,0)),"")</f>
        <v>6.2198999999999997E-2</v>
      </c>
      <c r="H8" s="14">
        <f t="array" aca="1" ref="H8" ca="1">IFERROR(INDEX(Input!$U:$U,MATCH(CONCATENATE($A$1,"_Sunday League_",$L$1,"_",$A8),Input!$I:$I,0)),"")</f>
        <v>3</v>
      </c>
      <c r="I8" s="34">
        <f t="array" aca="1" ref="I8" ca="1">IF(OR($D8="Vet",$D8="Woman Vet"),INDEX(Input!$W:$W,MATCH(CONCATENATE($A$1,"_Sunday League_",$L$1,"_",$A8),Input!$I:$I,0)),"")</f>
        <v>9.0289351851851801E-2</v>
      </c>
      <c r="J8" s="14">
        <f t="array" aca="1" ref="J8" ca="1">IF(OR($D8="Vet",$D8="Woman Vet"),INDEX(Input!$X:$X,MATCH(CONCATENATE($A$1,"_Sunday League_",$L$1,"_",$A8),Input!$I:$I,0)),"")</f>
        <v>4</v>
      </c>
      <c r="K8" s="35" t="str">
        <f t="array" aca="1" ref="K8" ca="1">IFERROR(INDEX(Input!$R:$R,MATCH(CONCATENATE($A$1,"_Sunday League_",$L$1,"_",$A8),Input!$I:$I,0)),"")</f>
        <v>First E9 50 mile TT</v>
      </c>
    </row>
    <row r="9" spans="1:12" ht="12.75" x14ac:dyDescent="0.2">
      <c r="A9" s="14">
        <v>6</v>
      </c>
      <c r="B9" s="13" t="str">
        <f t="array" aca="1" ref="B9" ca="1">IFERROR(INDEX(Input!$O:$O,MATCH(CONCATENATE($A$1,"_Sunday League_",$L$1,"_",$A9),Input!$I:$I,0)),"")</f>
        <v>David Jacobs</v>
      </c>
      <c r="C9" s="14" t="str">
        <f t="shared" ca="1" si="0"/>
        <v>SW</v>
      </c>
      <c r="D9" s="14" t="str">
        <f t="array" aca="1" ref="D9" ca="1">IFERROR(INDEX(Input!$P:$P,MATCH(CONCATENATE($A$1,"_Sunday League_",$L$1,"_",$A9),Input!$I:$I,0)),"")</f>
        <v>Vet</v>
      </c>
      <c r="E9" s="34">
        <f t="array" aca="1" ref="E9" ca="1">IFERROR(INDEX(Input!$Q:$Q,MATCH(CONCATENATE($A$1,"_Sunday League_",$L$1,"_",$A9),Input!$I:$I,0)),"")</f>
        <v>9.9328703703703697E-2</v>
      </c>
      <c r="F9" s="14" t="str">
        <f t="array" aca="1" ref="F9" ca="1">IFERROR(INDEX(Input!$AF:$AF,MATCH(CONCATENATE($A$1,"_Sunday League_",$L$1,"_",$A9),Input!$I:$I,0)),"")</f>
        <v/>
      </c>
      <c r="G9" s="34">
        <f t="array" aca="1" ref="G9" ca="1">IFERROR(INDEX(Input!$T:$T,MATCH(CONCATENATE($A$1,"_Sunday League_",$L$1,"_",$A9),Input!$I:$I,0)),"")</f>
        <v>6.2361E-2</v>
      </c>
      <c r="H9" s="14">
        <f t="array" aca="1" ref="H9" ca="1">IFERROR(INDEX(Input!$U:$U,MATCH(CONCATENATE($A$1,"_Sunday League_",$L$1,"_",$A9),Input!$I:$I,0)),"")</f>
        <v>4</v>
      </c>
      <c r="I9" s="34">
        <f t="array" aca="1" ref="I9" ca="1">IF(OR($D9="Vet",$D9="Woman Vet"),INDEX(Input!$W:$W,MATCH(CONCATENATE($A$1,"_Sunday League_",$L$1,"_",$A9),Input!$I:$I,0)),"")</f>
        <v>9.5092592592592506E-2</v>
      </c>
      <c r="J9" s="14">
        <f t="array" aca="1" ref="J9" ca="1">IF(OR($D9="Vet",$D9="Woman Vet"),INDEX(Input!$X:$X,MATCH(CONCATENATE($A$1,"_Sunday League_",$L$1,"_",$A9),Input!$I:$I,0)),"")</f>
        <v>6</v>
      </c>
      <c r="K9" s="35" t="str">
        <f t="array" aca="1" ref="K9" ca="1">IFERROR(INDEX(Input!$R:$R,MATCH(CONCATENATE($A$1,"_Sunday League_",$L$1,"_",$A9),Input!$I:$I,0)),"")</f>
        <v>First 50 mile TT</v>
      </c>
    </row>
    <row r="10" spans="1:12" ht="12.75" x14ac:dyDescent="0.2">
      <c r="A10" s="14">
        <v>7</v>
      </c>
      <c r="B10" s="13" t="str">
        <f t="array" aca="1" ref="B10" ca="1">IFERROR(INDEX(Input!$O:$O,MATCH(CONCATENATE($A$1,"_Sunday League_",$L$1,"_",$A10),Input!$I:$I,0)),"")</f>
        <v>Paul White</v>
      </c>
      <c r="C10" s="14" t="str">
        <f t="shared" ca="1" si="0"/>
        <v>SW</v>
      </c>
      <c r="D10" s="14" t="str">
        <f t="array" aca="1" ref="D10" ca="1">IFERROR(INDEX(Input!$P:$P,MATCH(CONCATENATE($A$1,"_Sunday League_",$L$1,"_",$A10),Input!$I:$I,0)),"")</f>
        <v>Vet</v>
      </c>
      <c r="E10" s="34">
        <f t="array" aca="1" ref="E10" ca="1">IFERROR(INDEX(Input!$Q:$Q,MATCH(CONCATENATE($A$1,"_Sunday League_",$L$1,"_",$A10),Input!$I:$I,0)),"")</f>
        <v>9.9699074074073996E-2</v>
      </c>
      <c r="F10" s="14">
        <f t="array" aca="1" ref="F10" ca="1">IFERROR(INDEX(Input!$AF:$AF,MATCH(CONCATENATE($A$1,"_Sunday League_",$L$1,"_",$A10),Input!$I:$I,0)),"")</f>
        <v>1</v>
      </c>
      <c r="G10" s="34">
        <f t="array" aca="1" ref="G10" ca="1">IFERROR(INDEX(Input!$T:$T,MATCH(CONCATENATE($A$1,"_Sunday League_",$L$1,"_",$A10),Input!$I:$I,0)),"")</f>
        <v>6.2384000000000002E-2</v>
      </c>
      <c r="H10" s="14">
        <f t="array" aca="1" ref="H10" ca="1">IFERROR(INDEX(Input!$U:$U,MATCH(CONCATENATE($A$1,"_Sunday League_",$L$1,"_",$A10),Input!$I:$I,0)),"")</f>
        <v>5</v>
      </c>
      <c r="I10" s="34">
        <f t="array" aca="1" ref="I10" ca="1">IF(OR($D10="Vet",$D10="Woman Vet"),INDEX(Input!$W:$W,MATCH(CONCATENATE($A$1,"_Sunday League_",$L$1,"_",$A10),Input!$I:$I,0)),"")</f>
        <v>8.5439814814814802E-2</v>
      </c>
      <c r="J10" s="14">
        <f t="array" aca="1" ref="J10" ca="1">IF(OR($D10="Vet",$D10="Woman Vet"),INDEX(Input!$X:$X,MATCH(CONCATENATE($A$1,"_Sunday League_",$L$1,"_",$A10),Input!$I:$I,0)),"")</f>
        <v>2</v>
      </c>
      <c r="K10" s="35" t="str">
        <f t="array" aca="1" ref="K10" ca="1">IFERROR(INDEX(Input!$R:$R,MATCH(CONCATENATE($A$1,"_Sunday League_",$L$1,"_",$A10),Input!$I:$I,0)),"")</f>
        <v>Non-aero PB</v>
      </c>
    </row>
    <row r="11" spans="1:12" ht="12.75" x14ac:dyDescent="0.2">
      <c r="A11" s="14"/>
      <c r="B11" s="13"/>
      <c r="C11" s="14"/>
      <c r="D11" s="14"/>
      <c r="E11" s="34"/>
      <c r="F11" s="14"/>
      <c r="G11" s="34"/>
      <c r="H11" s="14"/>
      <c r="I11" s="14"/>
      <c r="J11" s="14"/>
      <c r="K11" s="35"/>
    </row>
    <row r="12" spans="1:12" ht="12.75" x14ac:dyDescent="0.2">
      <c r="A12" s="14"/>
      <c r="B12" s="13" t="s">
        <v>58</v>
      </c>
      <c r="C12" s="14"/>
      <c r="D12" s="14"/>
      <c r="E12" s="34"/>
      <c r="F12" s="14"/>
      <c r="G12" s="34"/>
      <c r="H12" s="14"/>
      <c r="I12" s="14"/>
      <c r="J12" s="14"/>
      <c r="K12" s="35"/>
    </row>
    <row r="13" spans="1:12" ht="12.75" x14ac:dyDescent="0.2">
      <c r="A13" s="14"/>
      <c r="B13" s="13" t="s">
        <v>123</v>
      </c>
      <c r="C13" s="48" t="s">
        <v>74</v>
      </c>
      <c r="D13" s="49"/>
      <c r="E13" s="34">
        <v>7.5532407407407409E-2</v>
      </c>
      <c r="F13" s="14"/>
      <c r="G13" s="34"/>
      <c r="H13" s="14"/>
      <c r="I13" s="14"/>
      <c r="J13" s="14"/>
      <c r="K13" s="35" t="s">
        <v>61</v>
      </c>
    </row>
    <row r="14" spans="1:12" ht="12.75" x14ac:dyDescent="0.2">
      <c r="A14" s="14"/>
      <c r="B14" s="13" t="s">
        <v>124</v>
      </c>
      <c r="C14" s="48" t="s">
        <v>80</v>
      </c>
      <c r="D14" s="49"/>
      <c r="E14" s="34">
        <v>7.7199074074074073E-2</v>
      </c>
      <c r="F14" s="14"/>
      <c r="G14" s="34"/>
      <c r="H14" s="14"/>
      <c r="I14" s="14"/>
      <c r="J14" s="14"/>
      <c r="K14" s="35" t="s">
        <v>125</v>
      </c>
    </row>
    <row r="15" spans="1:12" ht="12.75" x14ac:dyDescent="0.2">
      <c r="A15" s="14"/>
      <c r="B15" s="13" t="s">
        <v>84</v>
      </c>
      <c r="C15" s="48" t="s">
        <v>74</v>
      </c>
      <c r="D15" s="49"/>
      <c r="E15" s="34">
        <v>8.2256944444444438E-2</v>
      </c>
      <c r="F15" s="14"/>
      <c r="G15" s="34"/>
      <c r="H15" s="14"/>
      <c r="I15" s="14"/>
      <c r="J15" s="14"/>
      <c r="K15" s="35" t="s">
        <v>64</v>
      </c>
    </row>
    <row r="16" spans="1:12" ht="12.75" x14ac:dyDescent="0.2">
      <c r="A16" s="14"/>
      <c r="B16" s="13" t="s">
        <v>126</v>
      </c>
      <c r="C16" s="48" t="s">
        <v>127</v>
      </c>
      <c r="D16" s="49"/>
      <c r="E16" s="34">
        <v>8.8171296296296303E-2</v>
      </c>
      <c r="F16" s="14"/>
      <c r="G16" s="34"/>
      <c r="H16" s="14"/>
      <c r="I16" s="14"/>
      <c r="J16" s="14"/>
      <c r="K16" s="35" t="s">
        <v>67</v>
      </c>
    </row>
    <row r="17" spans="1:11" ht="12.75" x14ac:dyDescent="0.2">
      <c r="A17" s="14"/>
      <c r="B17" s="13"/>
      <c r="C17" s="14"/>
      <c r="D17" s="14"/>
      <c r="E17" s="34"/>
      <c r="F17" s="14"/>
      <c r="G17" s="34"/>
      <c r="H17" s="14"/>
      <c r="I17" s="14"/>
      <c r="J17" s="14"/>
      <c r="K17" s="35"/>
    </row>
    <row r="18" spans="1:11" ht="12.75" x14ac:dyDescent="0.2">
      <c r="A18" s="14"/>
      <c r="B18" s="13"/>
      <c r="C18" s="14"/>
      <c r="D18" s="14"/>
      <c r="E18" s="34"/>
      <c r="F18" s="14"/>
      <c r="G18" s="34"/>
      <c r="H18" s="14"/>
      <c r="I18" s="14"/>
      <c r="J18" s="14"/>
      <c r="K18" s="35"/>
    </row>
    <row r="19" spans="1:11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13"/>
      <c r="C22" s="36"/>
      <c r="D22" s="14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6">
    <mergeCell ref="C16:D16"/>
    <mergeCell ref="A1:K1"/>
    <mergeCell ref="A2:K2"/>
    <mergeCell ref="C13:D13"/>
    <mergeCell ref="C14:D14"/>
    <mergeCell ref="C15:D1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L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45802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25</v>
      </c>
    </row>
    <row r="2" spans="1:12" ht="18" x14ac:dyDescent="0.25">
      <c r="A2" s="47" t="s">
        <v>128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Henry O'Kill</v>
      </c>
      <c r="C4" s="14" t="str">
        <f t="shared" ref="C4:C11" ca="1" si="0">IF(B4="","","SW")</f>
        <v>SW</v>
      </c>
      <c r="D4" s="14" t="str">
        <f t="array" aca="1" ref="D4" ca="1">IFERROR(INDEX(Input!$P:$P,MATCH(CONCATENATE($A$1,"_Sunday League_",$L$1,"_",$A4),Input!$I:$I,0)),"")</f>
        <v>Senior</v>
      </c>
      <c r="E4" s="34">
        <f t="array" aca="1" ref="E4" ca="1">IFERROR(INDEX(Input!$Q:$Q,MATCH(CONCATENATE($A$1,"_Sunday League_",$L$1,"_",$A4),Input!$I:$I,0)),"")</f>
        <v>3.8993055555555503E-2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2.9815000000000001E-2</v>
      </c>
      <c r="H4" s="14">
        <f t="array" aca="1" ref="H4" ca="1">IFERROR(INDEX(Input!$U:$U,MATCH(CONCATENATE($A$1,"_Sunday League_",$L$1,"_",$A4),Input!$I:$I,0)),"")</f>
        <v>1</v>
      </c>
      <c r="I4" s="14" t="str">
        <f t="array" aca="1" ref="I4" ca="1">IF(OR($D4="Vet",$D4="Woman Vet"),INDEX(Input!$W:$W,MATCH(CONCATENATE($A$1,"_Sunday League_",$L$1,"_",$A4),Input!$I:$I,0)),"")</f>
        <v/>
      </c>
      <c r="J4" s="14" t="str">
        <f t="array" aca="1" ref="J4" ca="1">IF(OR($D4="Vet",$D4="Woman Vet"),INDEX(Input!$X:$X,MATCH(CONCATENATE($A$1,"_Sunday League_",$L$1,"_",$A4),Input!$I:$I,0)),"")</f>
        <v/>
      </c>
      <c r="K4" s="35" t="str">
        <f t="array" aca="1" ref="K4" ca="1">IFERROR(INDEX(Input!$R:$R,MATCH(CONCATENATE($A$1,"_Sunday League_",$L$1,"_",$A4),Input!$I:$I,0)),"")</f>
        <v>PB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v>2</v>
      </c>
      <c r="B5" s="13" t="str">
        <f t="array" aca="1" ref="B5" ca="1">IFERROR(INDEX(Input!$O:$O,MATCH(CONCATENATE($A$1,"_Sunday League_",$L$1,"_",$A5),Input!$I:$I,0)),"")</f>
        <v>David Pennington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Senior</v>
      </c>
      <c r="E5" s="34">
        <f t="array" aca="1" ref="E5" ca="1">IFERROR(INDEX(Input!$Q:$Q,MATCH(CONCATENATE($A$1,"_Sunday League_",$L$1,"_",$A5),Input!$I:$I,0)),"")</f>
        <v>3.9699074074073998E-2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3.0521E-2</v>
      </c>
      <c r="H5" s="14">
        <f t="array" aca="1" ref="H5" ca="1">IFERROR(INDEX(Input!$U:$U,MATCH(CONCATENATE($A$1,"_Sunday League_",$L$1,"_",$A5),Input!$I:$I,0)),"")</f>
        <v>5</v>
      </c>
      <c r="I5" s="14" t="str">
        <f t="array" aca="1" ref="I5" ca="1">IF(OR($D5="Vet",$D5="Woman Vet"),INDEX(Input!$W:$W,MATCH(CONCATENATE($A$1,"_Sunday League_",$L$1,"_",$A5),Input!$I:$I,0)),"")</f>
        <v/>
      </c>
      <c r="J5" s="14" t="str">
        <f t="array" aca="1" ref="J5" ca="1">IF(OR($D5="Vet",$D5="Woman Vet"),INDEX(Input!$X:$X,MATCH(CONCATENATE($A$1,"_Sunday League_",$L$1,"_",$A5),Input!$I:$I,0)),"")</f>
        <v/>
      </c>
      <c r="K5" s="35" t="str">
        <f t="array" aca="1" ref="K5" ca="1">IFERROR(INDEX(Input!$R:$R,MATCH(CONCATENATE($A$1,"_Sunday League_",$L$1,"_",$A5),Input!$I:$I,0)),"")</f>
        <v/>
      </c>
    </row>
    <row r="6" spans="1:12" ht="12.75" x14ac:dyDescent="0.2">
      <c r="A6" s="14">
        <v>3</v>
      </c>
      <c r="B6" s="13" t="str">
        <f t="array" aca="1" ref="B6" ca="1">IFERROR(INDEX(Input!$O:$O,MATCH(CONCATENATE($A$1,"_Sunday League_",$L$1,"_",$A6),Input!$I:$I,0)),"")</f>
        <v>Philip Brant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4.4988425925925897E-2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3.022E-2</v>
      </c>
      <c r="H6" s="14">
        <f t="array" aca="1" ref="H6" ca="1">IFERROR(INDEX(Input!$U:$U,MATCH(CONCATENATE($A$1,"_Sunday League_",$L$1,"_",$A6),Input!$I:$I,0)),"")</f>
        <v>2</v>
      </c>
      <c r="I6" s="34">
        <f t="array" aca="1" ref="I6" ca="1">IF(OR($D6="Vet",$D6="Woman Vet"),INDEX(Input!$W:$W,MATCH(CONCATENATE($A$1,"_Sunday League_",$L$1,"_",$A6),Input!$I:$I,0)),"")</f>
        <v>3.8263888888888799E-2</v>
      </c>
      <c r="J6" s="14">
        <f t="array" aca="1" ref="J6" ca="1">IF(OR($D6="Vet",$D6="Woman Vet"),INDEX(Input!$X:$X,MATCH(CONCATENATE($A$1,"_Sunday League_",$L$1,"_",$A6),Input!$I:$I,0)),"")</f>
        <v>1</v>
      </c>
      <c r="K6" s="35" t="str">
        <f t="array" aca="1" ref="K6" ca="1">IFERROR(INDEX(Input!$R:$R,MATCH(CONCATENATE($A$1,"_Sunday League_",$L$1,"_",$A6),Input!$I:$I,0)),"")</f>
        <v>First E21 25 mile TT PB</v>
      </c>
    </row>
    <row r="7" spans="1:12" ht="12.75" x14ac:dyDescent="0.2">
      <c r="A7" s="14">
        <v>4</v>
      </c>
      <c r="B7" s="13" t="str">
        <f t="array" aca="1" ref="B7" ca="1">IFERROR(INDEX(Input!$O:$O,MATCH(CONCATENATE($A$1,"_Sunday League_",$L$1,"_",$A7),Input!$I:$I,0)),"")</f>
        <v>Marc Brant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4.5578703703703698E-2</v>
      </c>
      <c r="F7" s="14" t="str">
        <f t="array" aca="1" ref="F7" ca="1">IFERROR(INDEX(Input!$AF:$AF,MATCH(CONCATENATE($A$1,"_Sunday League_",$L$1,"_",$A7),Input!$I:$I,0)),"")</f>
        <v/>
      </c>
      <c r="G7" s="34">
        <f t="array" aca="1" ref="G7" ca="1">IFERROR(INDEX(Input!$T:$T,MATCH(CONCATENATE($A$1,"_Sunday League_",$L$1,"_",$A7),Input!$I:$I,0)),"")</f>
        <v>3.0255000000000001E-2</v>
      </c>
      <c r="H7" s="14">
        <f t="array" aca="1" ref="H7" ca="1">IFERROR(INDEX(Input!$U:$U,MATCH(CONCATENATE($A$1,"_Sunday League_",$L$1,"_",$A7),Input!$I:$I,0)),"")</f>
        <v>3</v>
      </c>
      <c r="I7" s="34">
        <f t="array" aca="1" ref="I7" ca="1">IF(OR($D7="Vet",$D7="Woman Vet"),INDEX(Input!$W:$W,MATCH(CONCATENATE($A$1,"_Sunday League_",$L$1,"_",$A7),Input!$I:$I,0)),"")</f>
        <v>4.4097222222222197E-2</v>
      </c>
      <c r="J7" s="14">
        <f t="array" aca="1" ref="J7" ca="1">IF(OR($D7="Vet",$D7="Woman Vet"),INDEX(Input!$X:$X,MATCH(CONCATENATE($A$1,"_Sunday League_",$L$1,"_",$A7),Input!$I:$I,0)),"")</f>
        <v>3</v>
      </c>
      <c r="K7" s="35" t="str">
        <f t="array" aca="1" ref="K7" ca="1">IFERROR(INDEX(Input!$R:$R,MATCH(CONCATENATE($A$1,"_Sunday League_",$L$1,"_",$A7),Input!$I:$I,0)),"")</f>
        <v>First E21 25 mile TT PB</v>
      </c>
    </row>
    <row r="8" spans="1:12" ht="12.75" x14ac:dyDescent="0.2">
      <c r="A8" s="14">
        <v>5</v>
      </c>
      <c r="B8" s="13" t="str">
        <f t="array" aca="1" ref="B8" ca="1">IFERROR(INDEX(Input!$O:$O,MATCH(CONCATENATE($A$1,"_Sunday League_",$L$1,"_",$A8),Input!$I:$I,0)),"")</f>
        <v>David Carey</v>
      </c>
      <c r="C8" s="14" t="str">
        <f t="shared" ca="1" si="0"/>
        <v>SW</v>
      </c>
      <c r="D8" s="14" t="str">
        <f t="array" aca="1" ref="D8" ca="1">IFERROR(INDEX(Input!$P:$P,MATCH(CONCATENATE($A$1,"_Sunday League_",$L$1,"_",$A8),Input!$I:$I,0)),"")</f>
        <v>Vet</v>
      </c>
      <c r="E8" s="34">
        <f t="array" aca="1" ref="E8" ca="1">IFERROR(INDEX(Input!$Q:$Q,MATCH(CONCATENATE($A$1,"_Sunday League_",$L$1,"_",$A8),Input!$I:$I,0)),"")</f>
        <v>4.5983796296296203E-2</v>
      </c>
      <c r="F8" s="14" t="str">
        <f t="array" aca="1" ref="F8" ca="1">IFERROR(INDEX(Input!$AF:$AF,MATCH(CONCATENATE($A$1,"_Sunday League_",$L$1,"_",$A8),Input!$I:$I,0)),"")</f>
        <v/>
      </c>
      <c r="G8" s="34">
        <f t="array" aca="1" ref="G8" ca="1">IFERROR(INDEX(Input!$T:$T,MATCH(CONCATENATE($A$1,"_Sunday League_",$L$1,"_",$A8),Input!$I:$I,0)),"")</f>
        <v>3.0277999999999999E-2</v>
      </c>
      <c r="H8" s="14">
        <f t="array" aca="1" ref="H8" ca="1">IFERROR(INDEX(Input!$U:$U,MATCH(CONCATENATE($A$1,"_Sunday League_",$L$1,"_",$A8),Input!$I:$I,0)),"")</f>
        <v>4</v>
      </c>
      <c r="I8" s="34">
        <f t="array" aca="1" ref="I8" ca="1">IF(OR($D8="Vet",$D8="Woman Vet"),INDEX(Input!$W:$W,MATCH(CONCATENATE($A$1,"_Sunday League_",$L$1,"_",$A8),Input!$I:$I,0)),"")</f>
        <v>4.4131944444444397E-2</v>
      </c>
      <c r="J8" s="14">
        <f t="array" aca="1" ref="J8" ca="1">IF(OR($D8="Vet",$D8="Woman Vet"),INDEX(Input!$X:$X,MATCH(CONCATENATE($A$1,"_Sunday League_",$L$1,"_",$A8),Input!$I:$I,0)),"")</f>
        <v>4</v>
      </c>
      <c r="K8" s="35" t="str">
        <f t="array" aca="1" ref="K8" ca="1">IFERROR(INDEX(Input!$R:$R,MATCH(CONCATENATE($A$1,"_Sunday League_",$L$1,"_",$A8),Input!$I:$I,0)),"")</f>
        <v/>
      </c>
    </row>
    <row r="9" spans="1:12" ht="12.75" x14ac:dyDescent="0.2">
      <c r="A9" s="14">
        <v>6</v>
      </c>
      <c r="B9" s="13" t="str">
        <f t="array" aca="1" ref="B9" ca="1">IFERROR(INDEX(Input!$O:$O,MATCH(CONCATENATE($A$1,"_Sunday League_",$L$1,"_",$A9),Input!$I:$I,0)),"")</f>
        <v>Jennie Pennington</v>
      </c>
      <c r="C9" s="14" t="str">
        <f t="shared" ca="1" si="0"/>
        <v>SW</v>
      </c>
      <c r="D9" s="14" t="str">
        <f t="array" aca="1" ref="D9" ca="1">IFERROR(INDEX(Input!$P:$P,MATCH(CONCATENATE($A$1,"_Sunday League_",$L$1,"_",$A9),Input!$I:$I,0)),"")</f>
        <v>Woman Vet</v>
      </c>
      <c r="E9" s="34">
        <f t="array" aca="1" ref="E9" ca="1">IFERROR(INDEX(Input!$Q:$Q,MATCH(CONCATENATE($A$1,"_Sunday League_",$L$1,"_",$A9),Input!$I:$I,0)),"")</f>
        <v>4.7418981481481402E-2</v>
      </c>
      <c r="F9" s="14" t="str">
        <f t="array" aca="1" ref="F9" ca="1">IFERROR(INDEX(Input!$AF:$AF,MATCH(CONCATENATE($A$1,"_Sunday League_",$L$1,"_",$A9),Input!$I:$I,0)),"")</f>
        <v/>
      </c>
      <c r="G9" s="34">
        <f t="array" aca="1" ref="G9" ca="1">IFERROR(INDEX(Input!$T:$T,MATCH(CONCATENATE($A$1,"_Sunday League_",$L$1,"_",$A9),Input!$I:$I,0)),"")</f>
        <v>3.0521E-2</v>
      </c>
      <c r="H9" s="14">
        <f t="array" aca="1" ref="H9" ca="1">IFERROR(INDEX(Input!$U:$U,MATCH(CONCATENATE($A$1,"_Sunday League_",$L$1,"_",$A9),Input!$I:$I,0)),"")</f>
        <v>5</v>
      </c>
      <c r="I9" s="34">
        <f t="array" aca="1" ref="I9" ca="1">IF(OR($D9="Vet",$D9="Woman Vet"),INDEX(Input!$W:$W,MATCH(CONCATENATE($A$1,"_Sunday League_",$L$1,"_",$A9),Input!$I:$I,0)),"")</f>
        <v>4.2719907407407401E-2</v>
      </c>
      <c r="J9" s="14">
        <f t="array" aca="1" ref="J9" ca="1">IF(OR($D9="Vet",$D9="Woman Vet"),INDEX(Input!$X:$X,MATCH(CONCATENATE($A$1,"_Sunday League_",$L$1,"_",$A9),Input!$I:$I,0)),"")</f>
        <v>2</v>
      </c>
      <c r="K9" s="35" t="str">
        <f t="array" aca="1" ref="K9" ca="1">IFERROR(INDEX(Input!$R:$R,MATCH(CONCATENATE($A$1,"_Sunday League_",$L$1,"_",$A9),Input!$I:$I,0)),"")</f>
        <v>First E21 25 mile TT</v>
      </c>
    </row>
    <row r="10" spans="1:12" ht="12.75" x14ac:dyDescent="0.2">
      <c r="A10" s="14">
        <v>7</v>
      </c>
      <c r="B10" s="13" t="str">
        <f t="array" aca="1" ref="B10" ca="1">IFERROR(INDEX(Input!$O:$O,MATCH(CONCATENATE($A$1,"_Sunday League_",$L$1,"_",$A10),Input!$I:$I,0)),"")</f>
        <v>Paul Gribbon</v>
      </c>
      <c r="C10" s="14" t="str">
        <f t="shared" ca="1" si="0"/>
        <v>SW</v>
      </c>
      <c r="D10" s="14" t="str">
        <f t="array" aca="1" ref="D10" ca="1">IFERROR(INDEX(Input!$P:$P,MATCH(CONCATENATE($A$1,"_Sunday League_",$L$1,"_",$A10),Input!$I:$I,0)),"")</f>
        <v>Vet</v>
      </c>
      <c r="E10" s="34">
        <f t="array" aca="1" ref="E10" ca="1">IFERROR(INDEX(Input!$Q:$Q,MATCH(CONCATENATE($A$1,"_Sunday League_",$L$1,"_",$A10),Input!$I:$I,0)),"")</f>
        <v>4.8090277777777697E-2</v>
      </c>
      <c r="F10" s="14" t="str">
        <f t="array" aca="1" ref="F10" ca="1">IFERROR(INDEX(Input!$AF:$AF,MATCH(CONCATENATE($A$1,"_Sunday League_",$L$1,"_",$A10),Input!$I:$I,0)),"")</f>
        <v/>
      </c>
      <c r="G10" s="34">
        <f t="array" aca="1" ref="G10" ca="1">IFERROR(INDEX(Input!$T:$T,MATCH(CONCATENATE($A$1,"_Sunday League_",$L$1,"_",$A10),Input!$I:$I,0)),"")</f>
        <v>3.2361000000000001E-2</v>
      </c>
      <c r="H10" s="14">
        <f t="array" aca="1" ref="H10" ca="1">IFERROR(INDEX(Input!$U:$U,MATCH(CONCATENATE($A$1,"_Sunday League_",$L$1,"_",$A10),Input!$I:$I,0)),"")</f>
        <v>8</v>
      </c>
      <c r="I10" s="34">
        <f t="array" aca="1" ref="I10" ca="1">IF(OR($D10="Vet",$D10="Woman Vet"),INDEX(Input!$W:$W,MATCH(CONCATENATE($A$1,"_Sunday League_",$L$1,"_",$A10),Input!$I:$I,0)),"")</f>
        <v>4.6238425925925898E-2</v>
      </c>
      <c r="J10" s="14">
        <f t="array" aca="1" ref="J10" ca="1">IF(OR($D10="Vet",$D10="Woman Vet"),INDEX(Input!$X:$X,MATCH(CONCATENATE($A$1,"_Sunday League_",$L$1,"_",$A10),Input!$I:$I,0)),"")</f>
        <v>5</v>
      </c>
      <c r="K10" s="35" t="str">
        <f t="array" aca="1" ref="K10" ca="1">IFERROR(INDEX(Input!$R:$R,MATCH(CONCATENATE($A$1,"_Sunday League_",$L$1,"_",$A10),Input!$I:$I,0)),"")</f>
        <v>CB</v>
      </c>
    </row>
    <row r="11" spans="1:12" ht="12.75" x14ac:dyDescent="0.2">
      <c r="A11" s="14">
        <v>8</v>
      </c>
      <c r="B11" s="13" t="str">
        <f t="array" aca="1" ref="B11" ca="1">IFERROR(INDEX(Input!$O:$O,MATCH(CONCATENATE($A$1,"_Sunday League_",$L$1,"_",$A11),Input!$I:$I,0)),"")</f>
        <v>Andy Merchant</v>
      </c>
      <c r="C11" s="14" t="str">
        <f t="shared" ca="1" si="0"/>
        <v>SW</v>
      </c>
      <c r="D11" s="14" t="str">
        <f t="array" aca="1" ref="D11" ca="1">IFERROR(INDEX(Input!$P:$P,MATCH(CONCATENATE($A$1,"_Sunday League_",$L$1,"_",$A11),Input!$I:$I,0)),"")</f>
        <v>Vet</v>
      </c>
      <c r="E11" s="34">
        <f t="array" aca="1" ref="E11" ca="1">IFERROR(INDEX(Input!$Q:$Q,MATCH(CONCATENATE($A$1,"_Sunday League_",$L$1,"_",$A11),Input!$I:$I,0)),"")</f>
        <v>5.0069444444444403E-2</v>
      </c>
      <c r="F11" s="14" t="str">
        <f t="array" aca="1" ref="F11" ca="1">IFERROR(INDEX(Input!$AF:$AF,MATCH(CONCATENATE($A$1,"_Sunday League_",$L$1,"_",$A11),Input!$I:$I,0)),"")</f>
        <v/>
      </c>
      <c r="G11" s="34">
        <f t="array" aca="1" ref="G11" ca="1">IFERROR(INDEX(Input!$T:$T,MATCH(CONCATENATE($A$1,"_Sunday League_",$L$1,"_",$A11),Input!$I:$I,0)),"")</f>
        <v>3.1816999999999998E-2</v>
      </c>
      <c r="H11" s="14">
        <f t="array" aca="1" ref="H11" ca="1">IFERROR(INDEX(Input!$U:$U,MATCH(CONCATENATE($A$1,"_Sunday League_",$L$1,"_",$A11),Input!$I:$I,0)),"")</f>
        <v>7</v>
      </c>
      <c r="I11" s="34">
        <f t="array" aca="1" ref="I11" ca="1">IF(OR($D11="Vet",$D11="Woman Vet"),INDEX(Input!$W:$W,MATCH(CONCATENATE($A$1,"_Sunday League_",$L$1,"_",$A11),Input!$I:$I,0)),"")</f>
        <v>4.6863425925925899E-2</v>
      </c>
      <c r="J11" s="14">
        <f t="array" aca="1" ref="J11" ca="1">IF(OR($D11="Vet",$D11="Woman Vet"),INDEX(Input!$X:$X,MATCH(CONCATENATE($A$1,"_Sunday League_",$L$1,"_",$A11),Input!$I:$I,0)),"")</f>
        <v>6</v>
      </c>
      <c r="K11" s="35" t="str">
        <f t="array" aca="1" ref="K11" ca="1">IFERROR(INDEX(Input!$R:$R,MATCH(CONCATENATE($A$1,"_Sunday League_",$L$1,"_",$A11),Input!$I:$I,0)),"")</f>
        <v/>
      </c>
    </row>
    <row r="12" spans="1:12" ht="12.75" x14ac:dyDescent="0.2">
      <c r="A12" s="14"/>
      <c r="B12" s="13"/>
      <c r="C12" s="14"/>
      <c r="D12" s="14"/>
      <c r="E12" s="34"/>
      <c r="F12" s="34"/>
      <c r="G12" s="34"/>
      <c r="H12" s="14"/>
      <c r="I12" s="14"/>
      <c r="J12" s="14"/>
      <c r="K12" s="35"/>
    </row>
    <row r="13" spans="1:12" ht="12.75" x14ac:dyDescent="0.2">
      <c r="A13" s="14"/>
      <c r="B13" s="37" t="s">
        <v>58</v>
      </c>
      <c r="C13" s="14"/>
      <c r="D13" s="14"/>
      <c r="E13" s="34"/>
      <c r="F13" s="34"/>
      <c r="G13" s="34"/>
      <c r="H13" s="14"/>
      <c r="I13" s="14"/>
      <c r="J13" s="14"/>
      <c r="K13" s="35"/>
    </row>
    <row r="14" spans="1:12" ht="12.75" x14ac:dyDescent="0.2">
      <c r="A14" s="14"/>
      <c r="B14" s="39" t="s">
        <v>118</v>
      </c>
      <c r="C14" s="48" t="s">
        <v>119</v>
      </c>
      <c r="D14" s="49"/>
      <c r="E14" s="34">
        <v>3.7488425925925925E-2</v>
      </c>
      <c r="F14" s="34"/>
      <c r="G14" s="34"/>
      <c r="H14" s="14"/>
      <c r="I14" s="14"/>
      <c r="J14" s="14"/>
      <c r="K14" s="35" t="s">
        <v>61</v>
      </c>
    </row>
    <row r="15" spans="1:12" ht="12.75" x14ac:dyDescent="0.2">
      <c r="A15" s="14"/>
      <c r="B15" s="13" t="s">
        <v>77</v>
      </c>
      <c r="C15" s="48" t="s">
        <v>78</v>
      </c>
      <c r="D15" s="49"/>
      <c r="E15" s="34">
        <v>4.5868055555555558E-2</v>
      </c>
      <c r="F15" s="34"/>
      <c r="G15" s="34"/>
      <c r="H15" s="14"/>
      <c r="I15" s="14"/>
      <c r="J15" s="14"/>
      <c r="K15" s="35"/>
    </row>
    <row r="16" spans="1:12" ht="12.75" x14ac:dyDescent="0.2">
      <c r="A16" s="14"/>
      <c r="B16" s="13" t="s">
        <v>129</v>
      </c>
      <c r="C16" s="48" t="s">
        <v>91</v>
      </c>
      <c r="D16" s="49"/>
      <c r="E16" s="34">
        <v>4.5960648148148146E-2</v>
      </c>
      <c r="F16" s="34"/>
      <c r="G16" s="34"/>
      <c r="H16" s="14"/>
      <c r="I16" s="14"/>
      <c r="J16" s="14"/>
      <c r="K16" s="35" t="s">
        <v>64</v>
      </c>
    </row>
    <row r="17" spans="1:11" ht="12.75" x14ac:dyDescent="0.2">
      <c r="A17" s="14"/>
      <c r="B17" s="13" t="s">
        <v>121</v>
      </c>
      <c r="C17" s="48" t="s">
        <v>74</v>
      </c>
      <c r="D17" s="49"/>
      <c r="E17" s="34">
        <v>4.6516203703703705E-2</v>
      </c>
      <c r="F17" s="34"/>
      <c r="G17" s="34"/>
      <c r="H17" s="14"/>
      <c r="I17" s="14"/>
      <c r="J17" s="14"/>
      <c r="K17" s="35" t="s">
        <v>67</v>
      </c>
    </row>
    <row r="18" spans="1:11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13"/>
      <c r="C22" s="14"/>
      <c r="D22" s="14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6">
    <mergeCell ref="C17:D17"/>
    <mergeCell ref="A1:K1"/>
    <mergeCell ref="A2:K2"/>
    <mergeCell ref="C14:D14"/>
    <mergeCell ref="C15:D15"/>
    <mergeCell ref="C16:D1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L33"/>
  <sheetViews>
    <sheetView workbookViewId="0"/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45858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50</v>
      </c>
    </row>
    <row r="2" spans="1:12" ht="18" x14ac:dyDescent="0.25">
      <c r="A2" s="47" t="s">
        <v>130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Marc Brant</v>
      </c>
      <c r="C4" s="14" t="str">
        <f t="shared" ref="C4:C7" ca="1" si="0">IF(B4="","","SW")</f>
        <v>SW</v>
      </c>
      <c r="D4" s="14" t="str">
        <f t="array" aca="1" ref="D4" ca="1">IFERROR(INDEX(Input!$P:$P,MATCH(CONCATENATE($A$1,"_Sunday League_",$L$1,"_",$A4),Input!$I:$I,0)),"")</f>
        <v>Vet</v>
      </c>
      <c r="E4" s="34">
        <f t="array" aca="1" ref="E4" ca="1">IFERROR(INDEX(Input!$Q:$Q,MATCH(CONCATENATE($A$1,"_Sunday League_",$L$1,"_",$A4),Input!$I:$I,0)),"")</f>
        <v>8.9340277777777699E-2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6.1690000000000002E-2</v>
      </c>
      <c r="H4" s="14">
        <f t="array" aca="1" ref="H4" ca="1">IFERROR(INDEX(Input!$U:$U,MATCH(CONCATENATE($A$1,"_Sunday League_",$L$1,"_",$A4),Input!$I:$I,0)),"")</f>
        <v>1</v>
      </c>
      <c r="I4" s="34">
        <f t="array" aca="1" ref="I4" ca="1">IF(OR($D4="Vet",$D4="Woman Vet"),INDEX(Input!$W:$W,MATCH(CONCATENATE($A$1,"_Sunday League_",$L$1,"_",$A4),Input!$I:$I,0)),"")</f>
        <v>8.59375E-2</v>
      </c>
      <c r="J4" s="14">
        <f t="array" aca="1" ref="J4" ca="1">IF(OR($D4="Vet",$D4="Woman Vet"),INDEX(Input!$X:$X,MATCH(CONCATENATE($A$1,"_Sunday League_",$L$1,"_",$A4),Input!$I:$I,0)),"")</f>
        <v>2</v>
      </c>
      <c r="K4" s="35" t="str">
        <f t="array" aca="1" ref="K4" ca="1">IFERROR(INDEX(Input!$R:$R,MATCH(CONCATENATE($A$1,"_Sunday League_",$L$1,"_",$A4),Input!$I:$I,0)),"")</f>
        <v>PB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v>2</v>
      </c>
      <c r="B5" s="13" t="str">
        <f t="array" aca="1" ref="B5" ca="1">IFERROR(INDEX(Input!$O:$O,MATCH(CONCATENATE($A$1,"_Sunday League_",$L$1,"_",$A5),Input!$I:$I,0)),"")</f>
        <v>Philip Brant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Vet</v>
      </c>
      <c r="E5" s="34">
        <f t="array" aca="1" ref="E5" ca="1">IFERROR(INDEX(Input!$Q:$Q,MATCH(CONCATENATE($A$1,"_Sunday League_",$L$1,"_",$A5),Input!$I:$I,0)),"")</f>
        <v>9.0497685185185098E-2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6.2454000000000003E-2</v>
      </c>
      <c r="H5" s="14">
        <f t="array" aca="1" ref="H5" ca="1">IFERROR(INDEX(Input!$U:$U,MATCH(CONCATENATE($A$1,"_Sunday League_",$L$1,"_",$A5),Input!$I:$I,0)),"")</f>
        <v>3</v>
      </c>
      <c r="I5" s="34">
        <f t="array" aca="1" ref="I5" ca="1">IF(OR($D5="Vet",$D5="Woman Vet"),INDEX(Input!$W:$W,MATCH(CONCATENATE($A$1,"_Sunday League_",$L$1,"_",$A5),Input!$I:$I,0)),"")</f>
        <v>7.6238425925925904E-2</v>
      </c>
      <c r="J5" s="14">
        <f t="array" aca="1" ref="J5" ca="1">IF(OR($D5="Vet",$D5="Woman Vet"),INDEX(Input!$X:$X,MATCH(CONCATENATE($A$1,"_Sunday League_",$L$1,"_",$A5),Input!$I:$I,0)),"")</f>
        <v>1</v>
      </c>
      <c r="K5" s="35" t="str">
        <f t="array" aca="1" ref="K5" ca="1">IFERROR(INDEX(Input!$R:$R,MATCH(CONCATENATE($A$1,"_Sunday League_",$L$1,"_",$A5),Input!$I:$I,0)),"")</f>
        <v/>
      </c>
    </row>
    <row r="6" spans="1:12" ht="12.75" x14ac:dyDescent="0.2">
      <c r="A6" s="14">
        <v>3</v>
      </c>
      <c r="B6" s="13" t="str">
        <f t="array" aca="1" ref="B6" ca="1">IFERROR(INDEX(Input!$O:$O,MATCH(CONCATENATE($A$1,"_Sunday League_",$L$1,"_",$A6),Input!$I:$I,0)),"")</f>
        <v>Paul Gribbon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9.4247685185185101E-2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6.2014E-2</v>
      </c>
      <c r="H6" s="14">
        <f t="array" aca="1" ref="H6" ca="1">IFERROR(INDEX(Input!$U:$U,MATCH(CONCATENATE($A$1,"_Sunday League_",$L$1,"_",$A6),Input!$I:$I,0)),"")</f>
        <v>2</v>
      </c>
      <c r="I6" s="34">
        <f t="array" aca="1" ref="I6" ca="1">IF(OR($D6="Vet",$D6="Woman Vet"),INDEX(Input!$W:$W,MATCH(CONCATENATE($A$1,"_Sunday League_",$L$1,"_",$A6),Input!$I:$I,0)),"")</f>
        <v>9.0439814814814806E-2</v>
      </c>
      <c r="J6" s="14">
        <f t="array" aca="1" ref="J6" ca="1">IF(OR($D6="Vet",$D6="Woman Vet"),INDEX(Input!$X:$X,MATCH(CONCATENATE($A$1,"_Sunday League_",$L$1,"_",$A6),Input!$I:$I,0)),"")</f>
        <v>3</v>
      </c>
      <c r="K6" s="35" t="str">
        <f t="array" aca="1" ref="K6" ca="1">IFERROR(INDEX(Input!$R:$R,MATCH(CONCATENATE($A$1,"_Sunday League_",$L$1,"_",$A6),Input!$I:$I,0)),"")</f>
        <v>PB</v>
      </c>
    </row>
    <row r="7" spans="1:12" ht="12.75" x14ac:dyDescent="0.2">
      <c r="A7" s="14"/>
      <c r="B7" s="13" t="str">
        <f t="array" aca="1" ref="B7" ca="1">IFERROR(INDEX(Input!$O:$O,MATCH(CONCATENATE($A$1,"_Sunday League_",$L$1,"_",$A7),Input!$I:$I,0)),"")</f>
        <v/>
      </c>
      <c r="C7" s="14" t="str">
        <f t="shared" ca="1" si="0"/>
        <v/>
      </c>
      <c r="D7" s="14" t="str">
        <f t="array" aca="1" ref="D7" ca="1">IFERROR(INDEX(Input!$P:$P,MATCH(CONCATENATE($A$1,"_Sunday League_",$L$1,"_",$A7),Input!$I:$I,0)),"")</f>
        <v/>
      </c>
      <c r="E7" s="34" t="str">
        <f t="array" aca="1" ref="E7" ca="1">IFERROR(INDEX(Input!$Q:$Q,MATCH(CONCATENATE($A$1,"_Sunday League_",$L$1,"_",$A7),Input!$I:$I,0)),"")</f>
        <v/>
      </c>
      <c r="F7" s="14" t="str">
        <f t="array" aca="1" ref="F7" ca="1">IFERROR(INDEX(Input!$AF:$AF,MATCH(CONCATENATE($A$1,"_Sunday League_",$L$1,"_",$A7),Input!$I:$I,0)),"")</f>
        <v/>
      </c>
      <c r="G7" s="34" t="str">
        <f t="array" aca="1" ref="G7" ca="1">IFERROR(INDEX(Input!$T:$T,MATCH(CONCATENATE($A$1,"_Sunday League_",$L$1,"_",$A7),Input!$I:$I,0)),"")</f>
        <v/>
      </c>
      <c r="H7" s="14" t="str">
        <f t="array" aca="1" ref="H7" ca="1">IFERROR(INDEX(Input!$U:$U,MATCH(CONCATENATE($A$1,"_Sunday League_",$L$1,"_",$A7),Input!$I:$I,0)),"")</f>
        <v/>
      </c>
      <c r="I7" s="14" t="str">
        <f t="array" aca="1" ref="I7" ca="1">IF(OR($D7="Vet",$D7="Woman Vet"),INDEX(Input!$W:$W,MATCH(CONCATENATE($A$1,"_Sunday League_",$L$1,"_",$A7),Input!$I:$I,0)),"")</f>
        <v/>
      </c>
      <c r="J7" s="14" t="str">
        <f t="array" aca="1" ref="J7" ca="1">IF(OR($D7="Vet",$D7="Woman Vet"),INDEX(Input!$X:$X,MATCH(CONCATENATE($A$1,"_Sunday League_",$L$1,"_",$A7),Input!$I:$I,0)),"")</f>
        <v/>
      </c>
      <c r="K7" s="35" t="str">
        <f t="array" aca="1" ref="K7" ca="1">IFERROR(INDEX(Input!$R:$R,MATCH(CONCATENATE($A$1,"_Sunday League_",$L$1,"_",$A7),Input!$I:$I,0)),"")</f>
        <v/>
      </c>
    </row>
    <row r="8" spans="1:12" ht="12.75" x14ac:dyDescent="0.2">
      <c r="A8" s="14"/>
      <c r="B8" s="37" t="s">
        <v>58</v>
      </c>
      <c r="C8" s="14"/>
      <c r="D8" s="14" t="str">
        <f t="array" aca="1" ref="D8" ca="1">IFERROR(INDEX(Input!$P:$P,MATCH(CONCATENATE($A$1,"_Sunday League_",$L$1,"_",$A8),Input!$I:$I,0)),"")</f>
        <v/>
      </c>
      <c r="E8" s="34" t="str">
        <f t="array" aca="1" ref="E8" ca="1">IFERROR(INDEX(Input!$Q:$Q,MATCH(CONCATENATE($A$1,"_Sunday League_",$L$1,"_",$A8),Input!$I:$I,0)),"")</f>
        <v/>
      </c>
      <c r="F8" s="14" t="str">
        <f t="array" aca="1" ref="F8" ca="1">IFERROR(INDEX(Input!$AF:$AF,MATCH(CONCATENATE($A$1,"_Sunday League_",$L$1,"_",$A8),Input!$I:$I,0)),"")</f>
        <v/>
      </c>
      <c r="G8" s="34" t="str">
        <f t="array" aca="1" ref="G8" ca="1">IFERROR(INDEX(Input!$T:$T,MATCH(CONCATENATE($A$1,"_Sunday League_",$L$1,"_",$A8),Input!$I:$I,0)),"")</f>
        <v/>
      </c>
      <c r="H8" s="14" t="str">
        <f t="array" aca="1" ref="H8" ca="1">IFERROR(INDEX(Input!$U:$U,MATCH(CONCATENATE($A$1,"_Sunday League_",$L$1,"_",$A8),Input!$I:$I,0)),"")</f>
        <v/>
      </c>
      <c r="I8" s="14" t="str">
        <f t="array" aca="1" ref="I8" ca="1">IF(OR($D8="Vet",$D8="Woman Vet"),INDEX(Input!$W:$W,MATCH(CONCATENATE($A$1,"_Sunday League_",$L$1,"_",$A8),Input!$I:$I,0)),"")</f>
        <v/>
      </c>
      <c r="J8" s="14" t="str">
        <f t="array" aca="1" ref="J8" ca="1">IF(OR($D8="Vet",$D8="Woman Vet"),INDEX(Input!$X:$X,MATCH(CONCATENATE($A$1,"_Sunday League_",$L$1,"_",$A8),Input!$I:$I,0)),"")</f>
        <v/>
      </c>
      <c r="K8" s="35" t="str">
        <f t="array" aca="1" ref="K8" ca="1">IFERROR(INDEX(Input!$R:$R,MATCH(CONCATENATE($A$1,"_Sunday League_",$L$1,"_",$A8),Input!$I:$I,0)),"")</f>
        <v/>
      </c>
    </row>
    <row r="9" spans="1:12" ht="12.75" x14ac:dyDescent="0.2">
      <c r="A9" s="14"/>
      <c r="B9" s="13" t="s">
        <v>131</v>
      </c>
      <c r="C9" s="48" t="s">
        <v>132</v>
      </c>
      <c r="D9" s="49"/>
      <c r="E9" s="34">
        <v>7.6574074074074072E-2</v>
      </c>
      <c r="F9" s="14" t="str">
        <f t="array" aca="1" ref="F9" ca="1">IFERROR(INDEX(Input!$AF:$AF,MATCH(CONCATENATE($A$1,"_Sunday League_",$L$1,"_",$A9),Input!$I:$I,0)),"")</f>
        <v/>
      </c>
      <c r="G9" s="34" t="str">
        <f t="array" aca="1" ref="G9" ca="1">IFERROR(INDEX(Input!$T:$T,MATCH(CONCATENATE($A$1,"_Sunday League_",$L$1,"_",$A9),Input!$I:$I,0)),"")</f>
        <v/>
      </c>
      <c r="H9" s="14" t="str">
        <f t="array" aca="1" ref="H9" ca="1">IFERROR(INDEX(Input!$U:$U,MATCH(CONCATENATE($A$1,"_Sunday League_",$L$1,"_",$A9),Input!$I:$I,0)),"")</f>
        <v/>
      </c>
      <c r="I9" s="14" t="str">
        <f t="array" ref="I9">IF(OR($D9="Vet",$D9="Woman Vet"),INDEX(Input!$W:$W,MATCH(CONCATENATE($A$1,"_Sunday League_",$L$1,"_",$A9),Input!$I:$I,0)),"")</f>
        <v/>
      </c>
      <c r="J9" s="14" t="str">
        <f t="array" ref="J9">IF(OR($D9="Vet",$D9="Woman Vet"),INDEX(Input!$X:$X,MATCH(CONCATENATE($A$1,"_Sunday League_",$L$1,"_",$A9),Input!$I:$I,0)),"")</f>
        <v/>
      </c>
      <c r="K9" s="35" t="s">
        <v>61</v>
      </c>
    </row>
    <row r="10" spans="1:12" ht="12.75" x14ac:dyDescent="0.2">
      <c r="A10" s="14"/>
      <c r="B10" s="13" t="s">
        <v>133</v>
      </c>
      <c r="C10" s="48" t="s">
        <v>134</v>
      </c>
      <c r="D10" s="49"/>
      <c r="E10" s="34">
        <v>4.4675925925925924E-3</v>
      </c>
      <c r="F10" s="14" t="str">
        <f t="array" aca="1" ref="F10" ca="1">IFERROR(INDEX(Input!$AF:$AF,MATCH(CONCATENATE($A$1,"_Sunday League_",$L$1,"_",$A10),Input!$I:$I,0)),"")</f>
        <v/>
      </c>
      <c r="G10" s="34" t="str">
        <f t="array" aca="1" ref="G10" ca="1">IFERROR(INDEX(Input!$T:$T,MATCH(CONCATENATE($A$1,"_Sunday League_",$L$1,"_",$A10),Input!$I:$I,0)),"")</f>
        <v/>
      </c>
      <c r="H10" s="14" t="str">
        <f t="array" aca="1" ref="H10" ca="1">IFERROR(INDEX(Input!$U:$U,MATCH(CONCATENATE($A$1,"_Sunday League_",$L$1,"_",$A10),Input!$I:$I,0)),"")</f>
        <v/>
      </c>
      <c r="I10" s="14" t="str">
        <f t="array" ref="I10">IF(OR($D10="Vet",$D10="Woman Vet"),INDEX(Input!$W:$W,MATCH(CONCATENATE($A$1,"_Sunday League_",$L$1,"_",$A10),Input!$I:$I,0)),"")</f>
        <v/>
      </c>
      <c r="J10" s="14" t="str">
        <f t="array" ref="J10">IF(OR($D10="Vet",$D10="Woman Vet"),INDEX(Input!$X:$X,MATCH(CONCATENATE($A$1,"_Sunday League_",$L$1,"_",$A10),Input!$I:$I,0)),"")</f>
        <v/>
      </c>
      <c r="K10" s="35" t="s">
        <v>64</v>
      </c>
    </row>
    <row r="11" spans="1:12" ht="12.75" x14ac:dyDescent="0.2">
      <c r="A11" s="14"/>
      <c r="B11" s="13" t="s">
        <v>135</v>
      </c>
      <c r="C11" s="48" t="s">
        <v>134</v>
      </c>
      <c r="D11" s="49"/>
      <c r="E11" s="34">
        <v>9.5821759259259259E-2</v>
      </c>
      <c r="F11" s="14" t="str">
        <f t="array" aca="1" ref="F11" ca="1">IFERROR(INDEX(Input!$AF:$AF,MATCH(CONCATENATE($A$1,"_Sunday League_",$L$1,"_",$A11),Input!$I:$I,0)),"")</f>
        <v/>
      </c>
      <c r="G11" s="34" t="str">
        <f t="array" aca="1" ref="G11" ca="1">IFERROR(INDEX(Input!$T:$T,MATCH(CONCATENATE($A$1,"_Sunday League_",$L$1,"_",$A11),Input!$I:$I,0)),"")</f>
        <v/>
      </c>
      <c r="H11" s="14" t="str">
        <f t="array" aca="1" ref="H11" ca="1">IFERROR(INDEX(Input!$U:$U,MATCH(CONCATENATE($A$1,"_Sunday League_",$L$1,"_",$A11),Input!$I:$I,0)),"")</f>
        <v/>
      </c>
      <c r="I11" s="14" t="str">
        <f t="array" ref="I11">IF(OR($D11="Vet",$D11="Woman Vet"),INDEX(Input!$W:$W,MATCH(CONCATENATE($A$1,"_Sunday League_",$L$1,"_",$A11),Input!$I:$I,0)),"")</f>
        <v/>
      </c>
      <c r="J11" s="14" t="str">
        <f t="array" ref="J11">IF(OR($D11="Vet",$D11="Woman Vet"),INDEX(Input!$X:$X,MATCH(CONCATENATE($A$1,"_Sunday League_",$L$1,"_",$A11),Input!$I:$I,0)),"")</f>
        <v/>
      </c>
      <c r="K11" s="35" t="s">
        <v>67</v>
      </c>
    </row>
    <row r="12" spans="1:12" ht="12.75" x14ac:dyDescent="0.2">
      <c r="A12" s="14"/>
      <c r="B12" s="39"/>
      <c r="C12" s="14"/>
      <c r="D12" s="14"/>
      <c r="E12" s="34"/>
      <c r="F12" s="14"/>
      <c r="G12" s="34"/>
      <c r="H12" s="14"/>
      <c r="I12" s="14"/>
      <c r="J12" s="14"/>
      <c r="K12" s="35"/>
    </row>
    <row r="13" spans="1:12" ht="12.75" x14ac:dyDescent="0.2">
      <c r="A13" s="14"/>
      <c r="B13" s="38"/>
      <c r="C13" s="48"/>
      <c r="D13" s="49"/>
      <c r="E13" s="34"/>
      <c r="F13" s="34"/>
      <c r="G13" s="34"/>
      <c r="H13" s="14"/>
      <c r="I13" s="14"/>
      <c r="J13" s="14"/>
      <c r="K13" s="35"/>
    </row>
    <row r="14" spans="1:12" ht="12.75" x14ac:dyDescent="0.2">
      <c r="A14" s="14"/>
      <c r="B14" s="38"/>
      <c r="C14" s="48"/>
      <c r="D14" s="49"/>
      <c r="E14" s="34"/>
      <c r="F14" s="34"/>
      <c r="G14" s="34"/>
      <c r="H14" s="14"/>
      <c r="I14" s="14"/>
      <c r="J14" s="14"/>
      <c r="K14" s="35"/>
    </row>
    <row r="15" spans="1:12" ht="12.75" x14ac:dyDescent="0.2">
      <c r="A15" s="14"/>
      <c r="B15" s="38"/>
      <c r="C15" s="48"/>
      <c r="D15" s="49"/>
      <c r="E15" s="34"/>
      <c r="F15" s="34"/>
      <c r="G15" s="34"/>
      <c r="H15" s="14"/>
      <c r="I15" s="14"/>
      <c r="J15" s="14"/>
      <c r="K15" s="35"/>
    </row>
    <row r="16" spans="1:12" ht="12.75" x14ac:dyDescent="0.2">
      <c r="A16" s="14"/>
      <c r="B16" s="38"/>
      <c r="C16" s="48"/>
      <c r="D16" s="49"/>
      <c r="E16" s="34"/>
      <c r="F16" s="34"/>
      <c r="G16" s="34"/>
      <c r="H16" s="14"/>
      <c r="I16" s="14"/>
      <c r="J16" s="14"/>
      <c r="K16" s="35"/>
    </row>
    <row r="17" spans="1:11" ht="12.75" x14ac:dyDescent="0.2">
      <c r="A17" s="14"/>
      <c r="B17" s="38"/>
      <c r="C17" s="48"/>
      <c r="D17" s="49"/>
      <c r="E17" s="34"/>
      <c r="F17" s="34"/>
      <c r="G17" s="34"/>
      <c r="H17" s="14"/>
      <c r="I17" s="14"/>
      <c r="J17" s="14"/>
      <c r="K17" s="35"/>
    </row>
    <row r="18" spans="1:11" ht="12.75" x14ac:dyDescent="0.2">
      <c r="A18" s="14"/>
      <c r="B18" s="38"/>
      <c r="C18" s="48"/>
      <c r="D18" s="49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38"/>
      <c r="C19" s="14"/>
      <c r="D19" s="14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39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38"/>
      <c r="C21" s="48"/>
      <c r="D21" s="49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38"/>
      <c r="C22" s="48"/>
      <c r="D22" s="49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38"/>
      <c r="C23" s="48"/>
      <c r="D23" s="49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38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39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14">
    <mergeCell ref="C22:D22"/>
    <mergeCell ref="C23:D23"/>
    <mergeCell ref="A1:K1"/>
    <mergeCell ref="A2:K2"/>
    <mergeCell ref="C9:D9"/>
    <mergeCell ref="C10:D10"/>
    <mergeCell ref="C11:D11"/>
    <mergeCell ref="C13:D13"/>
    <mergeCell ref="C14:D14"/>
    <mergeCell ref="C15:D15"/>
    <mergeCell ref="C16:D16"/>
    <mergeCell ref="C17:D17"/>
    <mergeCell ref="C18:D18"/>
    <mergeCell ref="C21:D2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L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25</v>
      </c>
    </row>
    <row r="2" spans="1:12" ht="18" x14ac:dyDescent="0.25">
      <c r="A2" s="47" t="s">
        <v>136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4" t="str">
        <f t="array" aca="1" ref="B4" ca="1">IFERROR(INDEX(Input!$O:$O,MATCH(CONCATENATE($A$1,"_Sunday League_",$L$1,"_",$A4),Input!$I:$I,0)),"")</f>
        <v>David Carey</v>
      </c>
      <c r="C4" s="14" t="str">
        <f t="shared" ref="C4:C11" ca="1" si="0">IF(B4="","","SW")</f>
        <v>SW</v>
      </c>
      <c r="D4" s="14" t="str">
        <f t="array" aca="1" ref="D4" ca="1">IFERROR(INDEX(Input!$P:$P,MATCH(CONCATENATE($A$1,"_Sunday League_",$L$1,"_",$A4),Input!$I:$I,0)),"")</f>
        <v>Vet</v>
      </c>
      <c r="E4" s="34">
        <f t="array" aca="1" ref="E4" ca="1">IFERROR(INDEX(Input!$Q:$Q,MATCH(CONCATENATE($A$1,"_Sunday League_",$L$1,"_",$A4),Input!$I:$I,0)),"")</f>
        <v>4.1481481481481397E-2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2.9977E-2</v>
      </c>
      <c r="H4" s="14">
        <f t="array" aca="1" ref="H4" ca="1">IFERROR(INDEX(Input!$U:$U,MATCH(CONCATENATE($A$1,"_Sunday League_",$L$1,"_",$A4),Input!$I:$I,0)),"")</f>
        <v>1</v>
      </c>
      <c r="I4" s="34">
        <f t="array" aca="1" ref="I4" ca="1">IF(OR($D4="Vet",$D4="Woman Vet"),INDEX(Input!$W:$W,MATCH(CONCATENATE($A$1,"_Sunday League_",$L$1,"_",$A4),Input!$I:$I,0)),"")</f>
        <v>3.9629629629629598E-2</v>
      </c>
      <c r="J4" s="14">
        <f t="array" aca="1" ref="J4" ca="1">IF(OR($D4="Vet",$D4="Woman Vet"),INDEX(Input!$X:$X,MATCH(CONCATENATE($A$1,"_Sunday League_",$L$1,"_",$A4),Input!$I:$I,0)),"")</f>
        <v>2</v>
      </c>
      <c r="K4" s="35" t="str">
        <f t="array" aca="1" ref="K4" ca="1">IFERROR(INDEX(Input!$R:$R,MATCH(CONCATENATE($A$1,"_Sunday League_",$L$1,"_",$A4),Input!$I:$I,0)),"")</f>
        <v>CB</v>
      </c>
    </row>
    <row r="5" spans="1:12" ht="12.75" x14ac:dyDescent="0.2">
      <c r="A5" s="14">
        <v>2</v>
      </c>
      <c r="B5" s="14" t="str">
        <f t="array" aca="1" ref="B5" ca="1">IFERROR(INDEX(Input!$O:$O,MATCH(CONCATENATE($A$1,"_Sunday League_",$L$1,"_",$A5),Input!$I:$I,0)),"")</f>
        <v>Philip Brant</v>
      </c>
      <c r="C5" s="14" t="str">
        <f t="shared" ca="1" si="0"/>
        <v>SW</v>
      </c>
      <c r="D5" s="14" t="str">
        <f t="array" aca="1" ref="D5" ca="1">IFERROR(INDEX(Input!$P:$P,MATCH(CONCATENATE($A$1,"_Sunday League_",$L$1,"_",$A5),Input!$I:$I,0)),"")</f>
        <v>Vet</v>
      </c>
      <c r="E5" s="34">
        <f t="array" aca="1" ref="E5" ca="1">IFERROR(INDEX(Input!$Q:$Q,MATCH(CONCATENATE($A$1,"_Sunday League_",$L$1,"_",$A5),Input!$I:$I,0)),"")</f>
        <v>4.1712962962962903E-2</v>
      </c>
      <c r="F5" s="14" t="str">
        <f t="array" aca="1" ref="F5" ca="1">IFERROR(INDEX(Input!$AF:$AF,MATCH(CONCATENATE($A$1,"_Sunday League_",$L$1,"_",$A5),Input!$I:$I,0)),"")</f>
        <v/>
      </c>
      <c r="G5" s="34">
        <f t="array" aca="1" ref="G5" ca="1">IFERROR(INDEX(Input!$T:$T,MATCH(CONCATENATE($A$1,"_Sunday League_",$L$1,"_",$A5),Input!$I:$I,0)),"")</f>
        <v>0.03</v>
      </c>
      <c r="H5" s="14">
        <f t="array" aca="1" ref="H5" ca="1">IFERROR(INDEX(Input!$U:$U,MATCH(CONCATENATE($A$1,"_Sunday League_",$L$1,"_",$A5),Input!$I:$I,0)),"")</f>
        <v>2</v>
      </c>
      <c r="I5" s="34">
        <f t="array" aca="1" ref="I5" ca="1">IF(OR($D5="Vet",$D5="Woman Vet"),INDEX(Input!$W:$W,MATCH(CONCATENATE($A$1,"_Sunday League_",$L$1,"_",$A5),Input!$I:$I,0)),"")</f>
        <v>3.4988425925925902E-2</v>
      </c>
      <c r="J5" s="14">
        <f t="array" aca="1" ref="J5" ca="1">IF(OR($D5="Vet",$D5="Woman Vet"),INDEX(Input!$X:$X,MATCH(CONCATENATE($A$1,"_Sunday League_",$L$1,"_",$A5),Input!$I:$I,0)),"")</f>
        <v>1</v>
      </c>
      <c r="K5" s="35" t="str">
        <f t="array" aca="1" ref="K5" ca="1">IFERROR(INDEX(Input!$R:$R,MATCH(CONCATENATE($A$1,"_Sunday League_",$L$1,"_",$A5),Input!$I:$I,0)),"")</f>
        <v>PB</v>
      </c>
    </row>
    <row r="6" spans="1:12" ht="12.75" x14ac:dyDescent="0.2">
      <c r="A6" s="14">
        <v>3</v>
      </c>
      <c r="B6" s="14" t="str">
        <f t="array" aca="1" ref="B6" ca="1">IFERROR(INDEX(Input!$O:$O,MATCH(CONCATENATE($A$1,"_Sunday League_",$L$1,"_",$A6),Input!$I:$I,0)),"")</f>
        <v>Marc Brant</v>
      </c>
      <c r="C6" s="14" t="str">
        <f t="shared" ca="1" si="0"/>
        <v>SW</v>
      </c>
      <c r="D6" s="14" t="str">
        <f t="array" aca="1" ref="D6" ca="1">IFERROR(INDEX(Input!$P:$P,MATCH(CONCATENATE($A$1,"_Sunday League_",$L$1,"_",$A6),Input!$I:$I,0)),"")</f>
        <v>Vet</v>
      </c>
      <c r="E6" s="34">
        <f t="array" aca="1" ref="E6" ca="1">IFERROR(INDEX(Input!$Q:$Q,MATCH(CONCATENATE($A$1,"_Sunday League_",$L$1,"_",$A6),Input!$I:$I,0)),"")</f>
        <v>4.2488425925925902E-2</v>
      </c>
      <c r="F6" s="14" t="str">
        <f t="array" aca="1" ref="F6" ca="1">IFERROR(INDEX(Input!$AF:$AF,MATCH(CONCATENATE($A$1,"_Sunday League_",$L$1,"_",$A6),Input!$I:$I,0)),"")</f>
        <v/>
      </c>
      <c r="G6" s="34">
        <f t="array" aca="1" ref="G6" ca="1">IFERROR(INDEX(Input!$T:$T,MATCH(CONCATENATE($A$1,"_Sunday League_",$L$1,"_",$A6),Input!$I:$I,0)),"")</f>
        <v>3.0046E-2</v>
      </c>
      <c r="H6" s="14">
        <f t="array" aca="1" ref="H6" ca="1">IFERROR(INDEX(Input!$U:$U,MATCH(CONCATENATE($A$1,"_Sunday League_",$L$1,"_",$A6),Input!$I:$I,0)),"")</f>
        <v>3</v>
      </c>
      <c r="I6" s="34">
        <f t="array" aca="1" ref="I6" ca="1">IF(OR($D6="Vet",$D6="Woman Vet"),INDEX(Input!$W:$W,MATCH(CONCATENATE($A$1,"_Sunday League_",$L$1,"_",$A6),Input!$I:$I,0)),"")</f>
        <v>4.0821759259259197E-2</v>
      </c>
      <c r="J6" s="14">
        <f t="array" aca="1" ref="J6" ca="1">IF(OR($D6="Vet",$D6="Woman Vet"),INDEX(Input!$X:$X,MATCH(CONCATENATE($A$1,"_Sunday League_",$L$1,"_",$A6),Input!$I:$I,0)),"")</f>
        <v>4</v>
      </c>
      <c r="K6" s="35" t="str">
        <f t="array" aca="1" ref="K6" ca="1">IFERROR(INDEX(Input!$R:$R,MATCH(CONCATENATE($A$1,"_Sunday League_",$L$1,"_",$A6),Input!$I:$I,0)),"")</f>
        <v>PB</v>
      </c>
    </row>
    <row r="7" spans="1:12" ht="12.75" x14ac:dyDescent="0.2">
      <c r="A7" s="14">
        <v>4</v>
      </c>
      <c r="B7" s="14" t="str">
        <f t="array" aca="1" ref="B7" ca="1">IFERROR(INDEX(Input!$O:$O,MATCH(CONCATENATE($A$1,"_Sunday League_",$L$1,"_",$A7),Input!$I:$I,0)),"")</f>
        <v>John-Paul Paduarno</v>
      </c>
      <c r="C7" s="14" t="str">
        <f t="shared" ca="1" si="0"/>
        <v>SW</v>
      </c>
      <c r="D7" s="14" t="str">
        <f t="array" aca="1" ref="D7" ca="1">IFERROR(INDEX(Input!$P:$P,MATCH(CONCATENATE($A$1,"_Sunday League_",$L$1,"_",$A7),Input!$I:$I,0)),"")</f>
        <v>Vet</v>
      </c>
      <c r="E7" s="34">
        <f t="array" aca="1" ref="E7" ca="1">IFERROR(INDEX(Input!$Q:$Q,MATCH(CONCATENATE($A$1,"_Sunday League_",$L$1,"_",$A7),Input!$I:$I,0)),"")</f>
        <v>4.4490740740740699E-2</v>
      </c>
      <c r="F7" s="14">
        <f t="array" aca="1" ref="F7" ca="1">IFERROR(INDEX(Input!$AF:$AF,MATCH(CONCATENATE($A$1,"_Sunday League_",$L$1,"_",$A7),Input!$I:$I,0)),"")</f>
        <v>1</v>
      </c>
      <c r="G7" s="34">
        <f t="array" aca="1" ref="G7" ca="1">IFERROR(INDEX(Input!$T:$T,MATCH(CONCATENATE($A$1,"_Sunday League_",$L$1,"_",$A7),Input!$I:$I,0)),"")</f>
        <v>3.0185E-2</v>
      </c>
      <c r="H7" s="14">
        <f t="array" aca="1" ref="H7" ca="1">IFERROR(INDEX(Input!$U:$U,MATCH(CONCATENATE($A$1,"_Sunday League_",$L$1,"_",$A7),Input!$I:$I,0)),"")</f>
        <v>4</v>
      </c>
      <c r="I7" s="34">
        <f t="array" aca="1" ref="I7" ca="1">IF(OR($D7="Vet",$D7="Woman Vet"),INDEX(Input!$W:$W,MATCH(CONCATENATE($A$1,"_Sunday League_",$L$1,"_",$A7),Input!$I:$I,0)),"")</f>
        <v>4.4039351851851802E-2</v>
      </c>
      <c r="J7" s="14">
        <f t="array" aca="1" ref="J7" ca="1">IF(OR($D7="Vet",$D7="Woman Vet"),INDEX(Input!$X:$X,MATCH(CONCATENATE($A$1,"_Sunday League_",$L$1,"_",$A7),Input!$I:$I,0)),"")</f>
        <v>6</v>
      </c>
      <c r="K7" s="35" t="str">
        <f t="array" aca="1" ref="K7" ca="1">IFERROR(INDEX(Input!$R:$R,MATCH(CONCATENATE($A$1,"_Sunday League_",$L$1,"_",$A7),Input!$I:$I,0)),"")</f>
        <v>Non-aero PB</v>
      </c>
    </row>
    <row r="8" spans="1:12" ht="12.75" x14ac:dyDescent="0.2">
      <c r="A8" s="14">
        <v>5</v>
      </c>
      <c r="B8" s="14" t="str">
        <f t="array" aca="1" ref="B8" ca="1">IFERROR(INDEX(Input!$O:$O,MATCH(CONCATENATE($A$1,"_Sunday League_",$L$1,"_",$A8),Input!$I:$I,0)),"")</f>
        <v>Andy Merchant</v>
      </c>
      <c r="C8" s="14" t="str">
        <f t="shared" ca="1" si="0"/>
        <v>SW</v>
      </c>
      <c r="D8" s="14" t="str">
        <f t="array" aca="1" ref="D8" ca="1">IFERROR(INDEX(Input!$P:$P,MATCH(CONCATENATE($A$1,"_Sunday League_",$L$1,"_",$A8),Input!$I:$I,0)),"")</f>
        <v>Vet</v>
      </c>
      <c r="E8" s="34">
        <f t="array" aca="1" ref="E8" ca="1">IFERROR(INDEX(Input!$Q:$Q,MATCH(CONCATENATE($A$1,"_Sunday League_",$L$1,"_",$A8),Input!$I:$I,0)),"")</f>
        <v>4.6041666666666599E-2</v>
      </c>
      <c r="F8" s="14" t="str">
        <f t="array" aca="1" ref="F8" ca="1">IFERROR(INDEX(Input!$AF:$AF,MATCH(CONCATENATE($A$1,"_Sunday League_",$L$1,"_",$A8),Input!$I:$I,0)),"")</f>
        <v/>
      </c>
      <c r="G8" s="34">
        <f t="array" aca="1" ref="G8" ca="1">IFERROR(INDEX(Input!$T:$T,MATCH(CONCATENATE($A$1,"_Sunday League_",$L$1,"_",$A8),Input!$I:$I,0)),"")</f>
        <v>3.0289E-2</v>
      </c>
      <c r="H8" s="14">
        <f t="array" aca="1" ref="H8" ca="1">IFERROR(INDEX(Input!$U:$U,MATCH(CONCATENATE($A$1,"_Sunday League_",$L$1,"_",$A8),Input!$I:$I,0)),"")</f>
        <v>5</v>
      </c>
      <c r="I8" s="34">
        <f t="array" aca="1" ref="I8" ca="1">IF(OR($D8="Vet",$D8="Woman Vet"),INDEX(Input!$W:$W,MATCH(CONCATENATE($A$1,"_Sunday League_",$L$1,"_",$A8),Input!$I:$I,0)),"")</f>
        <v>4.2835648148148102E-2</v>
      </c>
      <c r="J8" s="14">
        <f t="array" aca="1" ref="J8" ca="1">IF(OR($D8="Vet",$D8="Woman Vet"),INDEX(Input!$X:$X,MATCH(CONCATENATE($A$1,"_Sunday League_",$L$1,"_",$A8),Input!$I:$I,0)),"")</f>
        <v>5</v>
      </c>
      <c r="K8" s="35" t="str">
        <f t="array" aca="1" ref="K8" ca="1">IFERROR(INDEX(Input!$R:$R,MATCH(CONCATENATE($A$1,"_Sunday League_",$L$1,"_",$A8),Input!$I:$I,0)),"")</f>
        <v>CB</v>
      </c>
    </row>
    <row r="9" spans="1:12" ht="25.5" x14ac:dyDescent="0.2">
      <c r="A9" s="14">
        <v>6</v>
      </c>
      <c r="B9" s="14" t="str">
        <f t="array" aca="1" ref="B9" ca="1">IFERROR(INDEX(Input!$O:$O,MATCH(CONCATENATE($A$1,"_Sunday League_",$L$1,"_",$A9),Input!$I:$I,0)),"")</f>
        <v>Paul White</v>
      </c>
      <c r="C9" s="14" t="str">
        <f t="shared" ca="1" si="0"/>
        <v>SW</v>
      </c>
      <c r="D9" s="14" t="str">
        <f t="array" aca="1" ref="D9" ca="1">IFERROR(INDEX(Input!$P:$P,MATCH(CONCATENATE($A$1,"_Sunday League_",$L$1,"_",$A9),Input!$I:$I,0)),"")</f>
        <v>Vet</v>
      </c>
      <c r="E9" s="34">
        <f t="array" aca="1" ref="E9" ca="1">IFERROR(INDEX(Input!$Q:$Q,MATCH(CONCATENATE($A$1,"_Sunday League_",$L$1,"_",$A9),Input!$I:$I,0)),"")</f>
        <v>4.69791666666666E-2</v>
      </c>
      <c r="F9" s="14">
        <f t="array" aca="1" ref="F9" ca="1">IFERROR(INDEX(Input!$AF:$AF,MATCH(CONCATENATE($A$1,"_Sunday League_",$L$1,"_",$A9),Input!$I:$I,0)),"")</f>
        <v>2</v>
      </c>
      <c r="G9" s="34">
        <f t="array" aca="1" ref="G9" ca="1">IFERROR(INDEX(Input!$T:$T,MATCH(CONCATENATE($A$1,"_Sunday League_",$L$1,"_",$A9),Input!$I:$I,0)),"")</f>
        <v>3.0346999999999999E-2</v>
      </c>
      <c r="H9" s="14">
        <f t="array" aca="1" ref="H9" ca="1">IFERROR(INDEX(Input!$U:$U,MATCH(CONCATENATE($A$1,"_Sunday League_",$L$1,"_",$A9),Input!$I:$I,0)),"")</f>
        <v>6</v>
      </c>
      <c r="I9" s="34">
        <f t="array" aca="1" ref="I9" ca="1">IF(OR($D9="Vet",$D9="Woman Vet"),INDEX(Input!$W:$W,MATCH(CONCATENATE($A$1,"_Sunday League_",$L$1,"_",$A9),Input!$I:$I,0)),"")</f>
        <v>4.0254629629629599E-2</v>
      </c>
      <c r="J9" s="14">
        <f t="array" aca="1" ref="J9" ca="1">IF(OR($D9="Vet",$D9="Woman Vet"),INDEX(Input!$X:$X,MATCH(CONCATENATE($A$1,"_Sunday League_",$L$1,"_",$A9),Input!$I:$I,0)),"")</f>
        <v>3</v>
      </c>
      <c r="K9" s="35" t="str">
        <f t="array" aca="1" ref="K9" ca="1">IFERROR(INDEX(Input!$R:$R,MATCH(CONCATENATE($A$1,"_Sunday League_",$L$1,"_",$A9),Input!$I:$I,0)),"")</f>
        <v>Non-aero First E9 25 mile TT PB</v>
      </c>
    </row>
    <row r="10" spans="1:12" ht="12.75" x14ac:dyDescent="0.2">
      <c r="A10" s="14">
        <v>7</v>
      </c>
      <c r="B10" s="14" t="str">
        <f t="array" aca="1" ref="B10" ca="1">IFERROR(INDEX(Input!$O:$O,MATCH(CONCATENATE($A$1,"_Sunday League_",$L$1,"_",$A10),Input!$I:$I,0)),"")</f>
        <v>Stuart Jago</v>
      </c>
      <c r="C10" s="14" t="str">
        <f t="shared" ca="1" si="0"/>
        <v>SW</v>
      </c>
      <c r="D10" s="14" t="str">
        <f t="array" aca="1" ref="D10" ca="1">IFERROR(INDEX(Input!$P:$P,MATCH(CONCATENATE($A$1,"_Sunday League_",$L$1,"_",$A10),Input!$I:$I,0)),"")</f>
        <v>Vet</v>
      </c>
      <c r="E10" s="34">
        <f t="array" aca="1" ref="E10" ca="1">IFERROR(INDEX(Input!$Q:$Q,MATCH(CONCATENATE($A$1,"_Sunday League_",$L$1,"_",$A10),Input!$I:$I,0)),"")</f>
        <v>5.2673611111111102E-2</v>
      </c>
      <c r="F10" s="14" t="str">
        <f t="array" aca="1" ref="F10" ca="1">IFERROR(INDEX(Input!$AF:$AF,MATCH(CONCATENATE($A$1,"_Sunday League_",$L$1,"_",$A10),Input!$I:$I,0)),"")</f>
        <v/>
      </c>
      <c r="G10" s="34">
        <f t="array" aca="1" ref="G10" ca="1">IFERROR(INDEX(Input!$T:$T,MATCH(CONCATENATE($A$1,"_Sunday League_",$L$1,"_",$A10),Input!$I:$I,0)),"")</f>
        <v>3.0728999999999999E-2</v>
      </c>
      <c r="H10" s="14">
        <f t="array" aca="1" ref="H10" ca="1">IFERROR(INDEX(Input!$U:$U,MATCH(CONCATENATE($A$1,"_Sunday League_",$L$1,"_",$A10),Input!$I:$I,0)),"")</f>
        <v>7</v>
      </c>
      <c r="I10" s="34">
        <f t="array" aca="1" ref="I10" ca="1">IF(OR($D10="Vet",$D10="Woman Vet"),INDEX(Input!$W:$W,MATCH(CONCATENATE($A$1,"_Sunday League_",$L$1,"_",$A10),Input!$I:$I,0)),"")</f>
        <v>4.5127314814814801E-2</v>
      </c>
      <c r="J10" s="14">
        <f t="array" aca="1" ref="J10" ca="1">IF(OR($D10="Vet",$D10="Woman Vet"),INDEX(Input!$X:$X,MATCH(CONCATENATE($A$1,"_Sunday League_",$L$1,"_",$A10),Input!$I:$I,0)),"")</f>
        <v>7</v>
      </c>
      <c r="K10" s="35" t="str">
        <f t="array" aca="1" ref="K10" ca="1">IFERROR(INDEX(Input!$R:$R,MATCH(CONCATENATE($A$1,"_Sunday League_",$L$1,"_",$A10),Input!$I:$I,0)),"")</f>
        <v>First E9 25 mile TT PB</v>
      </c>
    </row>
    <row r="11" spans="1:12" ht="12.75" x14ac:dyDescent="0.2">
      <c r="A11" s="14"/>
      <c r="B11" s="14" t="str">
        <f t="array" aca="1" ref="B11" ca="1">IFERROR(INDEX(Input!$O:$O,MATCH(CONCATENATE($A$1,"_Sunday League_",$L$1,"_",$A11),Input!$I:$I,0)),"")</f>
        <v/>
      </c>
      <c r="C11" s="14" t="str">
        <f t="shared" ca="1" si="0"/>
        <v/>
      </c>
      <c r="D11" s="14" t="str">
        <f t="array" aca="1" ref="D11" ca="1">IFERROR(INDEX(Input!$P:$P,MATCH(CONCATENATE($A$1,"_Sunday League_",$L$1,"_",$A11),Input!$I:$I,0)),"")</f>
        <v/>
      </c>
      <c r="E11" s="34" t="str">
        <f t="array" aca="1" ref="E11" ca="1">IFERROR(INDEX(Input!$Q:$Q,MATCH(CONCATENATE($A$1,"_Sunday League_",$L$1,"_",$A11),Input!$I:$I,0)),"")</f>
        <v/>
      </c>
      <c r="F11" s="14" t="str">
        <f t="array" aca="1" ref="F11" ca="1">IFERROR(INDEX(Input!$AF:$AF,MATCH(CONCATENATE($A$1,"_Sunday League_",$L$1,"_",$A11),Input!$I:$I,0)),"")</f>
        <v/>
      </c>
      <c r="G11" s="34" t="str">
        <f t="array" aca="1" ref="G11" ca="1">IFERROR(INDEX(Input!$T:$T,MATCH(CONCATENATE($A$1,"_Sunday League_",$L$1,"_",$A11),Input!$I:$I,0)),"")</f>
        <v/>
      </c>
      <c r="H11" s="14" t="str">
        <f t="array" aca="1" ref="H11" ca="1">IFERROR(INDEX(Input!$U:$U,MATCH(CONCATENATE($A$1,"_Sunday League_",$L$1,"_",$A11),Input!$I:$I,0)),"")</f>
        <v/>
      </c>
      <c r="I11" s="14" t="str">
        <f t="array" aca="1" ref="I11" ca="1">IF(OR($D11="Vet",$D11="Woman Vet"),INDEX(Input!$W:$W,MATCH(CONCATENATE($A$1,"_Sunday League_",$L$1,"_",$A11),Input!$I:$I,0)),"")</f>
        <v/>
      </c>
      <c r="J11" s="14" t="str">
        <f t="array" aca="1" ref="J11" ca="1">IF(OR($D11="Vet",$D11="Woman Vet"),INDEX(Input!$X:$X,MATCH(CONCATENATE($A$1,"_Sunday League_",$L$1,"_",$A11),Input!$I:$I,0)),"")</f>
        <v/>
      </c>
      <c r="K11" s="35" t="str">
        <f t="array" aca="1" ref="K11" ca="1">IFERROR(INDEX(Input!$R:$R,MATCH(CONCATENATE($A$1,"_Sunday League_",$L$1,"_",$A11),Input!$I:$I,0)),"")</f>
        <v/>
      </c>
    </row>
    <row r="12" spans="1:12" ht="12.75" x14ac:dyDescent="0.2">
      <c r="A12" s="14"/>
      <c r="B12" s="9" t="s">
        <v>137</v>
      </c>
      <c r="C12" s="18"/>
      <c r="D12" s="18"/>
      <c r="E12" s="34"/>
      <c r="F12" s="14"/>
      <c r="G12" s="34"/>
      <c r="H12" s="14"/>
      <c r="I12" s="14"/>
      <c r="J12" s="14"/>
      <c r="K12" s="35"/>
    </row>
    <row r="13" spans="1:12" ht="12.75" x14ac:dyDescent="0.2">
      <c r="A13" s="14"/>
      <c r="B13" s="18" t="s">
        <v>124</v>
      </c>
      <c r="C13" s="50" t="s">
        <v>80</v>
      </c>
      <c r="D13" s="49"/>
      <c r="E13" s="34">
        <v>3.8368055555555558E-2</v>
      </c>
      <c r="F13" s="34"/>
      <c r="G13" s="34"/>
      <c r="H13" s="14"/>
      <c r="I13" s="14"/>
      <c r="J13" s="14"/>
      <c r="K13" s="35"/>
    </row>
    <row r="14" spans="1:12" ht="12.75" x14ac:dyDescent="0.2">
      <c r="A14" s="14"/>
      <c r="B14" s="18"/>
      <c r="C14" s="50"/>
      <c r="D14" s="49"/>
      <c r="E14" s="34"/>
      <c r="F14" s="34"/>
      <c r="G14" s="34"/>
      <c r="H14" s="14"/>
      <c r="I14" s="14"/>
      <c r="J14" s="14"/>
      <c r="K14" s="35"/>
    </row>
    <row r="15" spans="1:12" ht="12.75" x14ac:dyDescent="0.2">
      <c r="A15" s="14"/>
      <c r="B15" s="9" t="s">
        <v>138</v>
      </c>
      <c r="C15" s="50"/>
      <c r="D15" s="49"/>
      <c r="E15" s="34"/>
      <c r="F15" s="34"/>
      <c r="G15" s="34"/>
      <c r="H15" s="14"/>
      <c r="I15" s="14"/>
      <c r="J15" s="14"/>
      <c r="K15" s="35"/>
    </row>
    <row r="16" spans="1:12" ht="12.75" x14ac:dyDescent="0.2">
      <c r="A16" s="14"/>
      <c r="B16" s="41" t="s">
        <v>80</v>
      </c>
      <c r="C16" s="50" t="s">
        <v>139</v>
      </c>
      <c r="D16" s="49"/>
      <c r="E16" s="14" t="s">
        <v>140</v>
      </c>
      <c r="F16" s="34"/>
      <c r="G16" s="34"/>
      <c r="H16" s="14"/>
      <c r="I16" s="14"/>
      <c r="J16" s="14"/>
      <c r="K16" s="35"/>
    </row>
    <row r="17" spans="1:11" ht="12.75" x14ac:dyDescent="0.2">
      <c r="A17" s="14"/>
      <c r="B17" s="41" t="s">
        <v>141</v>
      </c>
      <c r="C17" s="50" t="s">
        <v>142</v>
      </c>
      <c r="D17" s="49"/>
      <c r="E17" s="14" t="s">
        <v>143</v>
      </c>
      <c r="F17" s="34"/>
      <c r="G17" s="34"/>
      <c r="H17" s="14"/>
      <c r="I17" s="14"/>
      <c r="J17" s="14"/>
      <c r="K17" s="35"/>
    </row>
    <row r="18" spans="1:11" ht="12.75" x14ac:dyDescent="0.2">
      <c r="A18" s="14"/>
      <c r="B18" s="18"/>
      <c r="C18" s="18"/>
      <c r="D18" s="18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42" t="s">
        <v>58</v>
      </c>
      <c r="C19" s="43"/>
      <c r="D19" s="18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18" t="s">
        <v>144</v>
      </c>
      <c r="C20" s="50" t="s">
        <v>145</v>
      </c>
      <c r="D20" s="49"/>
      <c r="E20" s="34">
        <v>3.4733796296296297E-2</v>
      </c>
      <c r="F20" s="34"/>
      <c r="G20" s="34"/>
      <c r="H20" s="14"/>
      <c r="I20" s="14"/>
      <c r="J20" s="14"/>
      <c r="K20" s="35" t="s">
        <v>61</v>
      </c>
    </row>
    <row r="21" spans="1:11" ht="12.75" x14ac:dyDescent="0.2">
      <c r="A21" s="14"/>
      <c r="B21" s="18" t="s">
        <v>146</v>
      </c>
      <c r="C21" s="50" t="s">
        <v>78</v>
      </c>
      <c r="D21" s="49"/>
      <c r="E21" s="34">
        <v>3.5636574074074077E-2</v>
      </c>
      <c r="F21" s="34"/>
      <c r="G21" s="34"/>
      <c r="H21" s="14"/>
      <c r="I21" s="14"/>
      <c r="J21" s="14"/>
      <c r="K21" s="35"/>
    </row>
    <row r="22" spans="1:11" ht="12.75" x14ac:dyDescent="0.2">
      <c r="A22" s="14"/>
      <c r="B22" s="18" t="s">
        <v>84</v>
      </c>
      <c r="C22" s="50" t="s">
        <v>74</v>
      </c>
      <c r="D22" s="49"/>
      <c r="E22" s="34">
        <v>3.9675925925925927E-2</v>
      </c>
      <c r="F22" s="34"/>
      <c r="G22" s="34"/>
      <c r="H22" s="14"/>
      <c r="I22" s="14"/>
      <c r="J22" s="14"/>
      <c r="K22" s="35" t="s">
        <v>64</v>
      </c>
    </row>
    <row r="23" spans="1:11" ht="12.75" x14ac:dyDescent="0.2">
      <c r="A23" s="14"/>
      <c r="B23" s="40" t="s">
        <v>77</v>
      </c>
      <c r="C23" s="51" t="s">
        <v>78</v>
      </c>
      <c r="D23" s="49"/>
      <c r="E23" s="34">
        <v>4.3078703703703702E-2</v>
      </c>
      <c r="F23" s="34"/>
      <c r="G23" s="34"/>
      <c r="H23" s="14"/>
      <c r="I23" s="14"/>
      <c r="J23" s="14"/>
      <c r="K23" s="35"/>
    </row>
    <row r="24" spans="1:11" ht="12.75" x14ac:dyDescent="0.2">
      <c r="A24" s="14"/>
      <c r="B24" s="14" t="s">
        <v>147</v>
      </c>
      <c r="C24" s="48" t="s">
        <v>74</v>
      </c>
      <c r="D24" s="49"/>
      <c r="E24" s="34">
        <v>4.5092592592592594E-2</v>
      </c>
      <c r="F24" s="34"/>
      <c r="G24" s="34"/>
      <c r="H24" s="14"/>
      <c r="I24" s="14"/>
      <c r="J24" s="14"/>
      <c r="K24" s="35" t="s">
        <v>67</v>
      </c>
    </row>
    <row r="25" spans="1:11" ht="12.75" x14ac:dyDescent="0.2">
      <c r="A25" s="14"/>
      <c r="B25" s="14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4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4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4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4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4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4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4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4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12">
    <mergeCell ref="C16:D16"/>
    <mergeCell ref="C17:D17"/>
    <mergeCell ref="A1:K1"/>
    <mergeCell ref="A2:K2"/>
    <mergeCell ref="C13:D13"/>
    <mergeCell ref="C14:D14"/>
    <mergeCell ref="C15:D15"/>
    <mergeCell ref="C20:D20"/>
    <mergeCell ref="C21:D21"/>
    <mergeCell ref="C22:D22"/>
    <mergeCell ref="C23:D23"/>
    <mergeCell ref="C24:D2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L32"/>
  <sheetViews>
    <sheetView workbookViewId="0">
      <pane ySplit="3" topLeftCell="A4" activePane="bottomLeft" state="frozen"/>
      <selection activeCell="B5" sqref="B5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45885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10</v>
      </c>
    </row>
    <row r="2" spans="1:12" ht="18" x14ac:dyDescent="0.25">
      <c r="A2" s="47" t="s">
        <v>148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/>
      </c>
      <c r="C4" s="14" t="str">
        <f t="shared" ref="C4:C9" ca="1" si="0">IF(B4="","","SW")</f>
        <v/>
      </c>
      <c r="D4" s="14" t="str">
        <f t="array" aca="1" ref="D4" ca="1">IFERROR(INDEX(Input!$P:$P,MATCH(CONCATENATE($A$1,"_Sunday League_",$L$1,"_",$A4),Input!$I:$I,0)),"")</f>
        <v/>
      </c>
      <c r="E4" s="34" t="str">
        <f t="array" aca="1" ref="E4" ca="1">IFERROR(INDEX(Input!$Q:$Q,MATCH(CONCATENATE($A$1,"_Sunday League_",$L$1,"_",$A4),Input!$I:$I,0)),"")</f>
        <v/>
      </c>
      <c r="F4" s="14" t="str">
        <f t="array" aca="1" ref="F4" ca="1">IFERROR(INDEX(Input!$AF:$AF,MATCH(CONCATENATE($A$1,"_Sunday League_",$L$1,"_",$A4),Input!$I:$I,0)),"")</f>
        <v/>
      </c>
      <c r="G4" s="34" t="str">
        <f t="array" aca="1" ref="G4" ca="1">IFERROR(INDEX(Input!$T:$T,MATCH(CONCATENATE($A$1,"_Sunday League_",$L$1,"_",$A4),Input!$I:$I,0)),"")</f>
        <v/>
      </c>
      <c r="H4" s="14" t="str">
        <f t="array" aca="1" ref="H4" ca="1">IFERROR(INDEX(Input!$U:$U,MATCH(CONCATENATE($A$1,"_Sunday League_",$L$1,"_",$A4),Input!$I:$I,0)),"")</f>
        <v/>
      </c>
      <c r="I4" s="14" t="str">
        <f t="array" aca="1" ref="I4" ca="1">IF(OR($D4="Vet",$D4="Woman Vet"),INDEX(Input!$W:$W,MATCH(CONCATENATE($A$1,"_Sunday League_",$L$1,"_",$A4),Input!$I:$I,0)),"")</f>
        <v/>
      </c>
      <c r="J4" s="14" t="str">
        <f t="array" aca="1" ref="J4" ca="1">IF(OR($D4="Vet",$D4="Woman Vet"),INDEX(Input!$X:$X,MATCH(CONCATENATE($A$1,"_Sunday League_",$L$1,"_",$A4),Input!$I:$I,0)),"")</f>
        <v/>
      </c>
      <c r="K4" s="35" t="str">
        <f t="array" aca="1" ref="K4" ca="1">IFERROR(INDEX(Input!$R:$R,MATCH(CONCATENATE($A$1,"_Sunday League_",$L$1,"_",$A4),Input!$I:$I,0)),"")</f>
        <v/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v>2</v>
      </c>
      <c r="B5" s="13" t="str">
        <f t="array" aca="1" ref="B5" ca="1">IFERROR(INDEX(Input!$O:$O,MATCH(CONCATENATE($A$1,"_Sunday League_",$L$1,"_",$A5),Input!$I:$I,0)),"")</f>
        <v/>
      </c>
      <c r="C5" s="14" t="str">
        <f t="shared" ca="1" si="0"/>
        <v/>
      </c>
      <c r="D5" s="14" t="str">
        <f t="array" aca="1" ref="D5" ca="1">IFERROR(INDEX(Input!$P:$P,MATCH(CONCATENATE($A$1,"_Sunday League_",$L$1,"_",$A5),Input!$I:$I,0)),"")</f>
        <v/>
      </c>
      <c r="E5" s="34" t="str">
        <f t="array" aca="1" ref="E5" ca="1">IFERROR(INDEX(Input!$Q:$Q,MATCH(CONCATENATE($A$1,"_Sunday League_",$L$1,"_",$A5),Input!$I:$I,0)),"")</f>
        <v/>
      </c>
      <c r="F5" s="14" t="str">
        <f t="array" aca="1" ref="F5" ca="1">IFERROR(INDEX(Input!$AF:$AF,MATCH(CONCATENATE($A$1,"_Sunday League_",$L$1,"_",$A5),Input!$I:$I,0)),"")</f>
        <v/>
      </c>
      <c r="G5" s="34" t="str">
        <f t="array" aca="1" ref="G5" ca="1">IFERROR(INDEX(Input!$T:$T,MATCH(CONCATENATE($A$1,"_Sunday League_",$L$1,"_",$A5),Input!$I:$I,0)),"")</f>
        <v/>
      </c>
      <c r="H5" s="14" t="str">
        <f t="array" aca="1" ref="H5" ca="1">IFERROR(INDEX(Input!$U:$U,MATCH(CONCATENATE($A$1,"_Sunday League_",$L$1,"_",$A5),Input!$I:$I,0)),"")</f>
        <v/>
      </c>
      <c r="I5" s="14" t="str">
        <f t="array" aca="1" ref="I5" ca="1">IF(OR($D5="Vet",$D5="Woman Vet"),INDEX(Input!$W:$W,MATCH(CONCATENATE($A$1,"_Sunday League_",$L$1,"_",$A5),Input!$I:$I,0)),"")</f>
        <v/>
      </c>
      <c r="J5" s="14" t="str">
        <f t="array" aca="1" ref="J5" ca="1">IF(OR($D5="Vet",$D5="Woman Vet"),INDEX(Input!$X:$X,MATCH(CONCATENATE($A$1,"_Sunday League_",$L$1,"_",$A5),Input!$I:$I,0)),"")</f>
        <v/>
      </c>
      <c r="K5" s="35" t="str">
        <f t="array" aca="1" ref="K5" ca="1">IFERROR(INDEX(Input!$R:$R,MATCH(CONCATENATE($A$1,"_Sunday League_",$L$1,"_",$A5),Input!$I:$I,0)),"")</f>
        <v/>
      </c>
    </row>
    <row r="6" spans="1:12" ht="12.75" x14ac:dyDescent="0.2">
      <c r="A6" s="14">
        <v>3</v>
      </c>
      <c r="B6" s="13" t="str">
        <f t="array" aca="1" ref="B6" ca="1">IFERROR(INDEX(Input!$O:$O,MATCH(CONCATENATE($A$1,"_Sunday League_",$L$1,"_",$A6),Input!$I:$I,0)),"")</f>
        <v/>
      </c>
      <c r="C6" s="14" t="str">
        <f t="shared" ca="1" si="0"/>
        <v/>
      </c>
      <c r="D6" s="14" t="str">
        <f t="array" aca="1" ref="D6" ca="1">IFERROR(INDEX(Input!$P:$P,MATCH(CONCATENATE($A$1,"_Sunday League_",$L$1,"_",$A6),Input!$I:$I,0)),"")</f>
        <v/>
      </c>
      <c r="E6" s="34" t="str">
        <f t="array" aca="1" ref="E6" ca="1">IFERROR(INDEX(Input!$Q:$Q,MATCH(CONCATENATE($A$1,"_Sunday League_",$L$1,"_",$A6),Input!$I:$I,0)),"")</f>
        <v/>
      </c>
      <c r="F6" s="14" t="str">
        <f t="array" aca="1" ref="F6" ca="1">IFERROR(INDEX(Input!$AF:$AF,MATCH(CONCATENATE($A$1,"_Sunday League_",$L$1,"_",$A6),Input!$I:$I,0)),"")</f>
        <v/>
      </c>
      <c r="G6" s="34" t="str">
        <f t="array" aca="1" ref="G6" ca="1">IFERROR(INDEX(Input!$T:$T,MATCH(CONCATENATE($A$1,"_Sunday League_",$L$1,"_",$A6),Input!$I:$I,0)),"")</f>
        <v/>
      </c>
      <c r="H6" s="14" t="str">
        <f t="array" aca="1" ref="H6" ca="1">IFERROR(INDEX(Input!$U:$U,MATCH(CONCATENATE($A$1,"_Sunday League_",$L$1,"_",$A6),Input!$I:$I,0)),"")</f>
        <v/>
      </c>
      <c r="I6" s="14" t="str">
        <f t="array" aca="1" ref="I6" ca="1">IF(OR($D6="Vet",$D6="Woman Vet"),INDEX(Input!$W:$W,MATCH(CONCATENATE($A$1,"_Sunday League_",$L$1,"_",$A6),Input!$I:$I,0)),"")</f>
        <v/>
      </c>
      <c r="J6" s="14" t="str">
        <f t="array" aca="1" ref="J6" ca="1">IF(OR($D6="Vet",$D6="Woman Vet"),INDEX(Input!$X:$X,MATCH(CONCATENATE($A$1,"_Sunday League_",$L$1,"_",$A6),Input!$I:$I,0)),"")</f>
        <v/>
      </c>
      <c r="K6" s="35" t="str">
        <f t="array" aca="1" ref="K6" ca="1">IFERROR(INDEX(Input!$R:$R,MATCH(CONCATENATE($A$1,"_Sunday League_",$L$1,"_",$A6),Input!$I:$I,0)),"")</f>
        <v/>
      </c>
    </row>
    <row r="7" spans="1:12" ht="12.75" x14ac:dyDescent="0.2">
      <c r="A7" s="14">
        <v>4</v>
      </c>
      <c r="B7" s="13" t="str">
        <f t="array" aca="1" ref="B7" ca="1">IFERROR(INDEX(Input!$O:$O,MATCH(CONCATENATE($A$1,"_Sunday League_",$L$1,"_",$A7),Input!$I:$I,0)),"")</f>
        <v/>
      </c>
      <c r="C7" s="14" t="str">
        <f t="shared" ca="1" si="0"/>
        <v/>
      </c>
      <c r="D7" s="14" t="str">
        <f t="array" aca="1" ref="D7" ca="1">IFERROR(INDEX(Input!$P:$P,MATCH(CONCATENATE($A$1,"_Sunday League_",$L$1,"_",$A7),Input!$I:$I,0)),"")</f>
        <v/>
      </c>
      <c r="E7" s="34" t="str">
        <f t="array" aca="1" ref="E7" ca="1">IFERROR(INDEX(Input!$Q:$Q,MATCH(CONCATENATE($A$1,"_Sunday League_",$L$1,"_",$A7),Input!$I:$I,0)),"")</f>
        <v/>
      </c>
      <c r="F7" s="14" t="str">
        <f t="array" aca="1" ref="F7" ca="1">IFERROR(INDEX(Input!$AF:$AF,MATCH(CONCATENATE($A$1,"_Sunday League_",$L$1,"_",$A7),Input!$I:$I,0)),"")</f>
        <v/>
      </c>
      <c r="G7" s="34" t="str">
        <f t="array" aca="1" ref="G7" ca="1">IFERROR(INDEX(Input!$T:$T,MATCH(CONCATENATE($A$1,"_Sunday League_",$L$1,"_",$A7),Input!$I:$I,0)),"")</f>
        <v/>
      </c>
      <c r="H7" s="14" t="str">
        <f t="array" aca="1" ref="H7" ca="1">IFERROR(INDEX(Input!$U:$U,MATCH(CONCATENATE($A$1,"_Sunday League_",$L$1,"_",$A7),Input!$I:$I,0)),"")</f>
        <v/>
      </c>
      <c r="I7" s="14" t="str">
        <f t="array" aca="1" ref="I7" ca="1">IF(OR($D7="Vet",$D7="Woman Vet"),INDEX(Input!$W:$W,MATCH(CONCATENATE($A$1,"_Sunday League_",$L$1,"_",$A7),Input!$I:$I,0)),"")</f>
        <v/>
      </c>
      <c r="J7" s="14" t="str">
        <f t="array" aca="1" ref="J7" ca="1">IF(OR($D7="Vet",$D7="Woman Vet"),INDEX(Input!$X:$X,MATCH(CONCATENATE($A$1,"_Sunday League_",$L$1,"_",$A7),Input!$I:$I,0)),"")</f>
        <v/>
      </c>
      <c r="K7" s="35" t="str">
        <f t="array" aca="1" ref="K7" ca="1">IFERROR(INDEX(Input!$R:$R,MATCH(CONCATENATE($A$1,"_Sunday League_",$L$1,"_",$A7),Input!$I:$I,0)),"")</f>
        <v/>
      </c>
    </row>
    <row r="8" spans="1:12" ht="12.75" x14ac:dyDescent="0.2">
      <c r="A8" s="14">
        <v>5</v>
      </c>
      <c r="B8" s="13" t="str">
        <f t="array" aca="1" ref="B8" ca="1">IFERROR(INDEX(Input!$O:$O,MATCH(CONCATENATE($A$1,"_Sunday League_",$L$1,"_",$A8),Input!$I:$I,0)),"")</f>
        <v/>
      </c>
      <c r="C8" s="14" t="str">
        <f t="shared" ca="1" si="0"/>
        <v/>
      </c>
      <c r="D8" s="14" t="str">
        <f t="array" aca="1" ref="D8" ca="1">IFERROR(INDEX(Input!$P:$P,MATCH(CONCATENATE($A$1,"_Sunday League_",$L$1,"_",$A8),Input!$I:$I,0)),"")</f>
        <v/>
      </c>
      <c r="E8" s="34" t="str">
        <f t="array" aca="1" ref="E8" ca="1">IFERROR(INDEX(Input!$Q:$Q,MATCH(CONCATENATE($A$1,"_Sunday League_",$L$1,"_",$A8),Input!$I:$I,0)),"")</f>
        <v/>
      </c>
      <c r="F8" s="14" t="str">
        <f t="array" aca="1" ref="F8" ca="1">IFERROR(INDEX(Input!$AF:$AF,MATCH(CONCATENATE($A$1,"_Sunday League_",$L$1,"_",$A8),Input!$I:$I,0)),"")</f>
        <v/>
      </c>
      <c r="G8" s="34" t="str">
        <f t="array" aca="1" ref="G8" ca="1">IFERROR(INDEX(Input!$T:$T,MATCH(CONCATENATE($A$1,"_Sunday League_",$L$1,"_",$A8),Input!$I:$I,0)),"")</f>
        <v/>
      </c>
      <c r="H8" s="14" t="str">
        <f t="array" aca="1" ref="H8" ca="1">IFERROR(INDEX(Input!$U:$U,MATCH(CONCATENATE($A$1,"_Sunday League_",$L$1,"_",$A8),Input!$I:$I,0)),"")</f>
        <v/>
      </c>
      <c r="I8" s="14" t="str">
        <f t="array" aca="1" ref="I8" ca="1">IF(OR($D8="Vet",$D8="Woman Vet"),INDEX(Input!$W:$W,MATCH(CONCATENATE($A$1,"_Sunday League_",$L$1,"_",$A8),Input!$I:$I,0)),"")</f>
        <v/>
      </c>
      <c r="J8" s="14" t="str">
        <f t="array" aca="1" ref="J8" ca="1">IF(OR($D8="Vet",$D8="Woman Vet"),INDEX(Input!$X:$X,MATCH(CONCATENATE($A$1,"_Sunday League_",$L$1,"_",$A8),Input!$I:$I,0)),"")</f>
        <v/>
      </c>
      <c r="K8" s="35" t="str">
        <f t="array" aca="1" ref="K8" ca="1">IFERROR(INDEX(Input!$R:$R,MATCH(CONCATENATE($A$1,"_Sunday League_",$L$1,"_",$A8),Input!$I:$I,0)),"")</f>
        <v/>
      </c>
    </row>
    <row r="9" spans="1:12" ht="12.75" x14ac:dyDescent="0.2">
      <c r="A9" s="14">
        <v>6</v>
      </c>
      <c r="B9" s="13" t="str">
        <f t="array" aca="1" ref="B9" ca="1">IFERROR(INDEX(Input!$O:$O,MATCH(CONCATENATE($A$1,"_Sunday League_",$L$1,"_",$A9),Input!$I:$I,0)),"")</f>
        <v/>
      </c>
      <c r="C9" s="14" t="str">
        <f t="shared" ca="1" si="0"/>
        <v/>
      </c>
      <c r="D9" s="14" t="str">
        <f t="array" aca="1" ref="D9" ca="1">IFERROR(INDEX(Input!$P:$P,MATCH(CONCATENATE($A$1,"_Sunday League_",$L$1,"_",$A9),Input!$I:$I,0)),"")</f>
        <v/>
      </c>
      <c r="E9" s="34" t="str">
        <f t="array" aca="1" ref="E9" ca="1">IFERROR(INDEX(Input!$Q:$Q,MATCH(CONCATENATE($A$1,"_Sunday League_",$L$1,"_",$A9),Input!$I:$I,0)),"")</f>
        <v/>
      </c>
      <c r="F9" s="14" t="str">
        <f t="array" aca="1" ref="F9" ca="1">IFERROR(INDEX(Input!$AF:$AF,MATCH(CONCATENATE($A$1,"_Sunday League_",$L$1,"_",$A9),Input!$I:$I,0)),"")</f>
        <v/>
      </c>
      <c r="G9" s="34" t="str">
        <f t="array" aca="1" ref="G9" ca="1">IFERROR(INDEX(Input!$T:$T,MATCH(CONCATENATE($A$1,"_Sunday League_",$L$1,"_",$A9),Input!$I:$I,0)),"")</f>
        <v/>
      </c>
      <c r="H9" s="14" t="str">
        <f t="array" aca="1" ref="H9" ca="1">IFERROR(INDEX(Input!$U:$U,MATCH(CONCATENATE($A$1,"_Sunday League_",$L$1,"_",$A9),Input!$I:$I,0)),"")</f>
        <v/>
      </c>
      <c r="I9" s="14" t="str">
        <f t="array" aca="1" ref="I9" ca="1">IF(OR($D9="Vet",$D9="Woman Vet"),INDEX(Input!$W:$W,MATCH(CONCATENATE($A$1,"_Sunday League_",$L$1,"_",$A9),Input!$I:$I,0)),"")</f>
        <v/>
      </c>
      <c r="J9" s="14" t="str">
        <f t="array" aca="1" ref="J9" ca="1">IF(OR($D9="Vet",$D9="Woman Vet"),INDEX(Input!$X:$X,MATCH(CONCATENATE($A$1,"_Sunday League_",$L$1,"_",$A9),Input!$I:$I,0)),"")</f>
        <v/>
      </c>
      <c r="K9" s="35" t="str">
        <f t="array" aca="1" ref="K9" ca="1">IFERROR(INDEX(Input!$R:$R,MATCH(CONCATENATE($A$1,"_Sunday League_",$L$1,"_",$A9),Input!$I:$I,0)),"")</f>
        <v/>
      </c>
    </row>
    <row r="10" spans="1:12" ht="12.75" x14ac:dyDescent="0.2">
      <c r="A10" s="14"/>
      <c r="B10" s="13"/>
      <c r="C10" s="14"/>
      <c r="D10" s="14"/>
      <c r="E10" s="34"/>
      <c r="F10" s="14"/>
      <c r="G10" s="34"/>
      <c r="H10" s="14"/>
      <c r="I10" s="14"/>
      <c r="J10" s="14"/>
      <c r="K10" s="35"/>
    </row>
    <row r="11" spans="1:12" ht="12.75" x14ac:dyDescent="0.2">
      <c r="A11" s="14"/>
      <c r="B11" s="13"/>
      <c r="C11" s="14"/>
      <c r="D11" s="14"/>
      <c r="E11" s="34"/>
      <c r="F11" s="14"/>
      <c r="G11" s="34"/>
      <c r="H11" s="14"/>
      <c r="I11" s="14"/>
      <c r="J11" s="14"/>
      <c r="K11" s="35"/>
    </row>
    <row r="12" spans="1:12" ht="12.75" x14ac:dyDescent="0.2">
      <c r="A12" s="14"/>
      <c r="B12" s="13"/>
      <c r="C12" s="14"/>
      <c r="D12" s="14"/>
      <c r="E12" s="34"/>
      <c r="F12" s="14"/>
      <c r="G12" s="34"/>
      <c r="H12" s="14"/>
      <c r="I12" s="14"/>
      <c r="J12" s="14"/>
      <c r="K12" s="35"/>
    </row>
    <row r="13" spans="1:12" ht="12.75" x14ac:dyDescent="0.2">
      <c r="A13" s="14"/>
      <c r="B13" s="13"/>
      <c r="C13" s="14"/>
      <c r="D13" s="14"/>
      <c r="E13" s="34"/>
      <c r="F13" s="34"/>
      <c r="G13" s="34"/>
      <c r="H13" s="14"/>
      <c r="I13" s="14"/>
      <c r="J13" s="14"/>
      <c r="K13" s="35"/>
    </row>
    <row r="14" spans="1:12" ht="12.75" x14ac:dyDescent="0.2">
      <c r="A14" s="14"/>
      <c r="B14" s="13"/>
      <c r="C14" s="14"/>
      <c r="D14" s="14"/>
      <c r="E14" s="34"/>
      <c r="F14" s="34"/>
      <c r="G14" s="34"/>
      <c r="H14" s="14"/>
      <c r="I14" s="14"/>
      <c r="J14" s="14"/>
      <c r="K14" s="35"/>
    </row>
    <row r="15" spans="1:12" ht="12.75" x14ac:dyDescent="0.2">
      <c r="A15" s="14"/>
      <c r="B15" s="13"/>
      <c r="C15" s="14"/>
      <c r="D15" s="14"/>
      <c r="E15" s="34"/>
      <c r="F15" s="34"/>
      <c r="G15" s="34"/>
      <c r="H15" s="14"/>
      <c r="I15" s="14"/>
      <c r="J15" s="14"/>
      <c r="K15" s="35"/>
    </row>
    <row r="16" spans="1:12" ht="12.75" x14ac:dyDescent="0.2">
      <c r="A16" s="14"/>
      <c r="B16" s="13"/>
      <c r="C16" s="14"/>
      <c r="D16" s="14"/>
      <c r="E16" s="34"/>
      <c r="F16" s="34"/>
      <c r="G16" s="34"/>
      <c r="H16" s="14"/>
      <c r="I16" s="14"/>
      <c r="J16" s="14"/>
      <c r="K16" s="35"/>
    </row>
    <row r="17" spans="1:11" ht="12.75" x14ac:dyDescent="0.2">
      <c r="A17" s="14"/>
      <c r="B17" s="13"/>
      <c r="C17" s="14"/>
      <c r="D17" s="14"/>
      <c r="E17" s="34"/>
      <c r="F17" s="34"/>
      <c r="G17" s="34"/>
      <c r="H17" s="14"/>
      <c r="I17" s="14"/>
      <c r="J17" s="14"/>
      <c r="K17" s="35"/>
    </row>
    <row r="18" spans="1:11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13"/>
      <c r="C22" s="14"/>
      <c r="D22" s="14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</sheetData>
  <mergeCells count="2">
    <mergeCell ref="A1:K1"/>
    <mergeCell ref="A2:K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K33"/>
  <sheetViews>
    <sheetView workbookViewId="0">
      <pane ySplit="3" topLeftCell="A4" activePane="bottomLeft" state="frozen"/>
      <selection activeCell="B5" sqref="B5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6" width="11.42578125" customWidth="1"/>
    <col min="7" max="7" width="10.42578125" customWidth="1"/>
    <col min="8" max="8" width="11.42578125" customWidth="1"/>
    <col min="9" max="9" width="10.140625" customWidth="1"/>
    <col min="10" max="10" width="39.28515625" customWidth="1"/>
    <col min="11" max="11" width="1.42578125" customWidth="1"/>
  </cols>
  <sheetData>
    <row r="1" spans="1:11" ht="18" x14ac:dyDescent="0.25">
      <c r="A1" s="45">
        <v>45928</v>
      </c>
      <c r="B1" s="46"/>
      <c r="C1" s="46"/>
      <c r="D1" s="46"/>
      <c r="E1" s="46"/>
      <c r="F1" s="46"/>
      <c r="G1" s="46"/>
      <c r="H1" s="46"/>
      <c r="I1" s="46"/>
      <c r="J1" s="46"/>
      <c r="K1" s="30">
        <v>25</v>
      </c>
    </row>
    <row r="2" spans="1:11" ht="18" x14ac:dyDescent="0.25">
      <c r="A2" s="47" t="s">
        <v>149</v>
      </c>
      <c r="B2" s="46"/>
      <c r="C2" s="46"/>
      <c r="D2" s="46"/>
      <c r="E2" s="46"/>
      <c r="F2" s="46"/>
      <c r="G2" s="46"/>
      <c r="H2" s="46"/>
      <c r="I2" s="46"/>
      <c r="J2" s="46"/>
      <c r="K2" s="44"/>
    </row>
    <row r="3" spans="1:11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1" t="s">
        <v>150</v>
      </c>
      <c r="H3" s="31" t="s">
        <v>151</v>
      </c>
      <c r="I3" s="31" t="s">
        <v>152</v>
      </c>
      <c r="J3" s="31" t="s">
        <v>57</v>
      </c>
      <c r="K3" s="33"/>
    </row>
    <row r="4" spans="1:11" ht="12.75" x14ac:dyDescent="0.2">
      <c r="A4" s="14">
        <v>1</v>
      </c>
      <c r="B4" s="13" t="str">
        <f t="array" aca="1" ref="B4" ca="1">IFERROR(INDEX(Input!$O:$O,MATCH(CONCATENATE($A$1,"_Sunday League_",$K$1,"_",$A4),Input!$I:$I,0)),"")</f>
        <v/>
      </c>
      <c r="C4" s="14" t="str">
        <f t="shared" ref="C4:C6" ca="1" si="0">IF(B4="","","SW")</f>
        <v/>
      </c>
      <c r="D4" s="14" t="str">
        <f t="array" aca="1" ref="D4" ca="1">IFERROR(INDEX(Input!$P:$P,MATCH(CONCATENATE($A$1,"_Sunday League_",$K$1,"_",$A4),Input!$I:$I,0)),"")</f>
        <v/>
      </c>
      <c r="E4" s="34" t="str">
        <f t="array" aca="1" ref="E4" ca="1">IFERROR(INDEX(Input!$Q:$Q,MATCH(CONCATENATE($A$1,"_Sunday League_",$K$1,"_",$A4),Input!$I:$I,0)),"")</f>
        <v/>
      </c>
      <c r="F4" s="14" t="str">
        <f t="array" aca="1" ref="F4" ca="1">IFERROR(INDEX(Input!$AF:$AF,MATCH(CONCATENATE($A$1,"_Sunday League_",$L$1,"_",$A4),Input!$I:$I,0)),"")</f>
        <v/>
      </c>
      <c r="G4" s="14" t="str">
        <f t="array" aca="1" ref="G4" ca="1">IFERROR(INDEX(Input!$U:$U,MATCH(CONCATENATE($A$1,"_Sunday League_",$K$1,"_",$A4),Input!$I:$I,0)),"")</f>
        <v/>
      </c>
      <c r="H4" s="14" t="str">
        <f t="array" aca="1" ref="H4" ca="1">IF(OR($D4="Vet",$D4="Woman Vet"),INDEX(Input!$W:$W,MATCH(CONCATENATE($A$1,"_Sunday League_",$K$1,"_",$A4),Input!$I:$I,0)),"")</f>
        <v/>
      </c>
      <c r="I4" s="14" t="str">
        <f t="array" aca="1" ref="I4" ca="1">IF(OR($D4="Vet",$D4="Woman Vet"),INDEX(Input!$X:$X,MATCH(CONCATENATE($A$1,"_Sunday League_",$K$1,"_",$A4),Input!$I:$I,0)),"")</f>
        <v/>
      </c>
      <c r="J4" s="35" t="str">
        <f t="array" aca="1" ref="J4" ca="1">IFERROR(INDEX(Input!$R:$R,MATCH(CONCATENATE($A$1,"_Sunday League_",$K$1,"_",$A4),Input!$I:$I,0)),"")</f>
        <v/>
      </c>
      <c r="K4" s="16" t="str">
        <f t="array" aca="1" ref="K4" ca="1">IF($D4="*Vet*",INDEX(Input!$X:$X,MATCH(CONCATENATE($A$1,"_Sunday League_",$K$1,"_",B4),Input!$I:$I,0)),"")</f>
        <v/>
      </c>
    </row>
    <row r="5" spans="1:11" ht="12.75" x14ac:dyDescent="0.2">
      <c r="A5" s="14">
        <v>2</v>
      </c>
      <c r="B5" s="13" t="str">
        <f t="array" aca="1" ref="B5" ca="1">IFERROR(INDEX(Input!$O:$O,MATCH(CONCATENATE($A$1,"_Sunday League_",$K$1,"_",$A5),Input!$I:$I,0)),"")</f>
        <v/>
      </c>
      <c r="C5" s="14" t="str">
        <f t="shared" ca="1" si="0"/>
        <v/>
      </c>
      <c r="D5" s="14" t="str">
        <f t="array" aca="1" ref="D5" ca="1">IFERROR(INDEX(Input!$P:$P,MATCH(CONCATENATE($A$1,"_Sunday League_",$K$1,"_",$A5),Input!$I:$I,0)),"")</f>
        <v/>
      </c>
      <c r="E5" s="34" t="str">
        <f t="array" aca="1" ref="E5" ca="1">IFERROR(INDEX(Input!$Q:$Q,MATCH(CONCATENATE($A$1,"_Sunday League_",$K$1,"_",$A5),Input!$I:$I,0)),"")</f>
        <v/>
      </c>
      <c r="F5" s="14" t="str">
        <f t="array" aca="1" ref="F5" ca="1">IFERROR(INDEX(Input!$AF:$AF,MATCH(CONCATENATE($A$1,"_Sunday League_",$L$1,"_",$A5),Input!$I:$I,0)),"")</f>
        <v/>
      </c>
      <c r="G5" s="14" t="str">
        <f t="array" aca="1" ref="G5" ca="1">IFERROR(INDEX(Input!$U:$U,MATCH(CONCATENATE($A$1,"_Sunday League_",$K$1,"_",$A5),Input!$I:$I,0)),"")</f>
        <v/>
      </c>
      <c r="H5" s="14" t="str">
        <f t="array" aca="1" ref="H5" ca="1">IF(OR($D5="Vet",$D5="Woman Vet"),INDEX(Input!$W:$W,MATCH(CONCATENATE($A$1,"_Sunday League_",$K$1,"_",$A5),Input!$I:$I,0)),"")</f>
        <v/>
      </c>
      <c r="I5" s="14" t="str">
        <f t="array" aca="1" ref="I5" ca="1">IF(OR($D5="Vet",$D5="Woman Vet"),INDEX(Input!$X:$X,MATCH(CONCATENATE($A$1,"_Sunday League_",$K$1,"_",$A5),Input!$I:$I,0)),"")</f>
        <v/>
      </c>
      <c r="J5" s="35" t="str">
        <f t="array" aca="1" ref="J5" ca="1">IFERROR(INDEX(Input!$R:$R,MATCH(CONCATENATE($A$1,"_Sunday League_",$K$1,"_",$A5),Input!$I:$I,0)),"")</f>
        <v/>
      </c>
    </row>
    <row r="6" spans="1:11" ht="12.75" x14ac:dyDescent="0.2">
      <c r="A6" s="14">
        <v>3</v>
      </c>
      <c r="B6" s="13" t="str">
        <f t="array" aca="1" ref="B6" ca="1">IFERROR(INDEX(Input!$O:$O,MATCH(CONCATENATE($A$1,"_Sunday League_",$K$1,"_",$A6),Input!$I:$I,0)),"")</f>
        <v/>
      </c>
      <c r="C6" s="14" t="str">
        <f t="shared" ca="1" si="0"/>
        <v/>
      </c>
      <c r="D6" s="14" t="str">
        <f t="array" aca="1" ref="D6" ca="1">IFERROR(INDEX(Input!$P:$P,MATCH(CONCATENATE($A$1,"_Sunday League_",$K$1,"_",$A6),Input!$I:$I,0)),"")</f>
        <v/>
      </c>
      <c r="E6" s="34" t="str">
        <f t="array" aca="1" ref="E6" ca="1">IFERROR(INDEX(Input!$Q:$Q,MATCH(CONCATENATE($A$1,"_Sunday League_",$K$1,"_",$A6),Input!$I:$I,0)),"")</f>
        <v/>
      </c>
      <c r="F6" s="14" t="str">
        <f t="array" aca="1" ref="F6" ca="1">IFERROR(INDEX(Input!$AF:$AF,MATCH(CONCATENATE($A$1,"_Sunday League_",$L$1,"_",$A6),Input!$I:$I,0)),"")</f>
        <v/>
      </c>
      <c r="G6" s="14" t="str">
        <f t="array" aca="1" ref="G6" ca="1">IFERROR(INDEX(Input!$U:$U,MATCH(CONCATENATE($A$1,"_Sunday League_",$K$1,"_",$A6),Input!$I:$I,0)),"")</f>
        <v/>
      </c>
      <c r="H6" s="14" t="str">
        <f t="array" aca="1" ref="H6" ca="1">IF(OR($D6="Vet",$D6="Woman Vet"),INDEX(Input!$W:$W,MATCH(CONCATENATE($A$1,"_Sunday League_",$K$1,"_",$A6),Input!$I:$I,0)),"")</f>
        <v/>
      </c>
      <c r="I6" s="14" t="str">
        <f t="array" aca="1" ref="I6" ca="1">IF(OR($D6="Vet",$D6="Woman Vet"),INDEX(Input!$X:$X,MATCH(CONCATENATE($A$1,"_Sunday League_",$K$1,"_",$A6),Input!$I:$I,0)),"")</f>
        <v/>
      </c>
      <c r="J6" s="35" t="str">
        <f t="array" aca="1" ref="J6" ca="1">IFERROR(INDEX(Input!$R:$R,MATCH(CONCATENATE($A$1,"_Sunday League_",$K$1,"_",$A6),Input!$I:$I,0)),"")</f>
        <v/>
      </c>
    </row>
    <row r="7" spans="1:11" ht="12.75" x14ac:dyDescent="0.2">
      <c r="A7" s="14"/>
      <c r="B7" s="13"/>
      <c r="C7" s="14"/>
      <c r="D7" s="14"/>
      <c r="E7" s="34"/>
      <c r="F7" s="14"/>
      <c r="G7" s="14"/>
      <c r="H7" s="14"/>
      <c r="I7" s="14"/>
      <c r="J7" s="35"/>
    </row>
    <row r="8" spans="1:11" ht="12.75" x14ac:dyDescent="0.2">
      <c r="A8" s="14"/>
      <c r="B8" s="13"/>
      <c r="C8" s="48"/>
      <c r="D8" s="49"/>
      <c r="E8" s="34"/>
      <c r="F8" s="14"/>
      <c r="G8" s="14"/>
      <c r="H8" s="14"/>
      <c r="I8" s="14"/>
      <c r="J8" s="35"/>
    </row>
    <row r="9" spans="1:11" ht="12.75" x14ac:dyDescent="0.2">
      <c r="A9" s="14"/>
      <c r="B9" s="13"/>
      <c r="C9" s="48"/>
      <c r="D9" s="49"/>
      <c r="E9" s="34"/>
      <c r="F9" s="34"/>
      <c r="G9" s="34"/>
      <c r="H9" s="14"/>
      <c r="I9" s="14"/>
      <c r="J9" s="35"/>
    </row>
    <row r="10" spans="1:11" ht="12.75" x14ac:dyDescent="0.2">
      <c r="A10" s="14"/>
      <c r="B10" s="13"/>
      <c r="C10" s="14"/>
      <c r="D10" s="14"/>
      <c r="E10" s="34"/>
      <c r="F10" s="34"/>
      <c r="G10" s="34"/>
      <c r="H10" s="14"/>
      <c r="I10" s="14"/>
      <c r="J10" s="35"/>
    </row>
    <row r="11" spans="1:11" ht="12.75" x14ac:dyDescent="0.2">
      <c r="A11" s="14"/>
      <c r="B11" s="13"/>
      <c r="C11" s="14"/>
      <c r="D11" s="14"/>
      <c r="E11" s="34"/>
      <c r="F11" s="34"/>
      <c r="G11" s="34"/>
      <c r="H11" s="14"/>
      <c r="I11" s="14"/>
      <c r="J11" s="35"/>
    </row>
    <row r="12" spans="1:11" ht="12.75" x14ac:dyDescent="0.2">
      <c r="A12" s="14"/>
      <c r="B12" s="13"/>
      <c r="C12" s="14"/>
      <c r="D12" s="14"/>
      <c r="E12" s="34"/>
      <c r="F12" s="34"/>
      <c r="G12" s="34"/>
      <c r="H12" s="14"/>
      <c r="I12" s="14"/>
      <c r="J12" s="35"/>
    </row>
    <row r="13" spans="1:11" ht="12.75" x14ac:dyDescent="0.2">
      <c r="A13" s="14"/>
      <c r="B13" s="13"/>
      <c r="C13" s="14"/>
      <c r="D13" s="14"/>
      <c r="E13" s="34"/>
      <c r="F13" s="34"/>
      <c r="G13" s="34"/>
      <c r="H13" s="14"/>
      <c r="I13" s="14"/>
      <c r="J13" s="35"/>
    </row>
    <row r="14" spans="1:11" ht="12.75" x14ac:dyDescent="0.2">
      <c r="A14" s="14"/>
      <c r="B14" s="13"/>
      <c r="C14" s="14"/>
      <c r="D14" s="14"/>
      <c r="E14" s="34"/>
      <c r="F14" s="34"/>
      <c r="G14" s="34"/>
      <c r="H14" s="14"/>
      <c r="I14" s="14"/>
      <c r="J14" s="35"/>
    </row>
    <row r="15" spans="1:11" ht="12.75" x14ac:dyDescent="0.2">
      <c r="A15" s="14"/>
      <c r="B15" s="13"/>
      <c r="C15" s="14"/>
      <c r="D15" s="14"/>
      <c r="E15" s="34"/>
      <c r="F15" s="34"/>
      <c r="G15" s="34"/>
      <c r="H15" s="14"/>
      <c r="I15" s="14"/>
      <c r="J15" s="35"/>
    </row>
    <row r="16" spans="1:11" ht="12.75" x14ac:dyDescent="0.2">
      <c r="A16" s="14"/>
      <c r="B16" s="13"/>
      <c r="C16" s="14"/>
      <c r="D16" s="14"/>
      <c r="E16" s="34"/>
      <c r="F16" s="34"/>
      <c r="G16" s="34"/>
      <c r="H16" s="14"/>
      <c r="I16" s="14"/>
      <c r="J16" s="35"/>
    </row>
    <row r="17" spans="1:10" ht="12.75" x14ac:dyDescent="0.2">
      <c r="A17" s="14"/>
      <c r="B17" s="13"/>
      <c r="C17" s="14"/>
      <c r="D17" s="14"/>
      <c r="E17" s="34"/>
      <c r="F17" s="34"/>
      <c r="G17" s="34"/>
      <c r="H17" s="14"/>
      <c r="I17" s="14"/>
      <c r="J17" s="35"/>
    </row>
    <row r="18" spans="1:10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35"/>
    </row>
    <row r="19" spans="1:10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35"/>
    </row>
    <row r="20" spans="1:10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35"/>
    </row>
    <row r="21" spans="1:10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35"/>
    </row>
    <row r="22" spans="1:10" ht="12.75" x14ac:dyDescent="0.2">
      <c r="A22" s="14"/>
      <c r="B22" s="13"/>
      <c r="C22" s="14"/>
      <c r="D22" s="14"/>
      <c r="E22" s="34"/>
      <c r="F22" s="34"/>
      <c r="G22" s="14"/>
      <c r="H22" s="14"/>
      <c r="I22" s="14"/>
      <c r="J22" s="35"/>
    </row>
    <row r="23" spans="1:10" ht="12.75" x14ac:dyDescent="0.2">
      <c r="A23" s="14"/>
      <c r="B23" s="13"/>
      <c r="C23" s="14"/>
      <c r="D23" s="14"/>
      <c r="E23" s="34"/>
      <c r="F23" s="34"/>
      <c r="G23" s="14"/>
      <c r="H23" s="14"/>
      <c r="I23" s="14"/>
      <c r="J23" s="35"/>
    </row>
    <row r="24" spans="1:10" ht="12.75" x14ac:dyDescent="0.2">
      <c r="A24" s="14"/>
      <c r="B24" s="13"/>
      <c r="C24" s="14"/>
      <c r="D24" s="14"/>
      <c r="E24" s="34"/>
      <c r="F24" s="34"/>
      <c r="G24" s="14"/>
      <c r="H24" s="14"/>
      <c r="I24" s="14"/>
      <c r="J24" s="35"/>
    </row>
    <row r="25" spans="1:10" ht="12.75" x14ac:dyDescent="0.2">
      <c r="A25" s="14"/>
      <c r="B25" s="13"/>
      <c r="C25" s="14"/>
      <c r="D25" s="14"/>
      <c r="E25" s="34"/>
      <c r="F25" s="34"/>
      <c r="G25" s="14"/>
      <c r="H25" s="14"/>
      <c r="I25" s="14"/>
      <c r="J25" s="35"/>
    </row>
    <row r="26" spans="1:10" ht="12.75" x14ac:dyDescent="0.2">
      <c r="A26" s="14"/>
      <c r="B26" s="13"/>
      <c r="C26" s="14"/>
      <c r="D26" s="14"/>
      <c r="E26" s="34"/>
      <c r="F26" s="34"/>
      <c r="G26" s="14"/>
      <c r="H26" s="14"/>
      <c r="I26" s="14"/>
      <c r="J26" s="35"/>
    </row>
    <row r="27" spans="1:10" ht="12.75" x14ac:dyDescent="0.2">
      <c r="A27" s="14"/>
      <c r="B27" s="13"/>
      <c r="C27" s="14"/>
      <c r="D27" s="14"/>
      <c r="E27" s="34"/>
      <c r="F27" s="34"/>
      <c r="G27" s="14"/>
      <c r="H27" s="14"/>
      <c r="I27" s="14"/>
      <c r="J27" s="35"/>
    </row>
    <row r="28" spans="1:10" ht="12.75" x14ac:dyDescent="0.2">
      <c r="A28" s="14"/>
      <c r="B28" s="13"/>
      <c r="C28" s="14"/>
      <c r="D28" s="14"/>
      <c r="E28" s="34"/>
      <c r="F28" s="34"/>
      <c r="G28" s="14"/>
      <c r="H28" s="14"/>
      <c r="I28" s="14"/>
      <c r="J28" s="35"/>
    </row>
    <row r="29" spans="1:10" ht="12.75" x14ac:dyDescent="0.2">
      <c r="A29" s="14"/>
      <c r="B29" s="13"/>
      <c r="C29" s="14"/>
      <c r="D29" s="14"/>
      <c r="E29" s="34"/>
      <c r="F29" s="34"/>
      <c r="G29" s="14"/>
      <c r="H29" s="14"/>
      <c r="I29" s="14"/>
      <c r="J29" s="35"/>
    </row>
    <row r="30" spans="1:10" ht="12.75" x14ac:dyDescent="0.2">
      <c r="A30" s="14"/>
      <c r="B30" s="13"/>
      <c r="C30" s="14"/>
      <c r="D30" s="14"/>
      <c r="E30" s="34"/>
      <c r="F30" s="34"/>
      <c r="G30" s="14"/>
      <c r="H30" s="14"/>
      <c r="I30" s="14"/>
      <c r="J30" s="35"/>
    </row>
    <row r="31" spans="1:10" ht="12.75" x14ac:dyDescent="0.2">
      <c r="A31" s="14"/>
      <c r="B31" s="13"/>
      <c r="C31" s="14"/>
      <c r="D31" s="14"/>
      <c r="E31" s="34"/>
      <c r="F31" s="34"/>
      <c r="G31" s="14"/>
      <c r="H31" s="14"/>
      <c r="I31" s="14"/>
      <c r="J31" s="35"/>
    </row>
    <row r="32" spans="1:10" ht="12.75" x14ac:dyDescent="0.2">
      <c r="A32" s="14"/>
      <c r="B32" s="13"/>
      <c r="C32" s="14"/>
      <c r="D32" s="14"/>
      <c r="E32" s="34"/>
      <c r="F32" s="34"/>
      <c r="G32" s="14"/>
      <c r="H32" s="14"/>
      <c r="I32" s="14"/>
      <c r="J32" s="35"/>
    </row>
    <row r="33" spans="1:10" ht="12.75" x14ac:dyDescent="0.2">
      <c r="A33" s="14"/>
      <c r="B33" s="13"/>
      <c r="C33" s="14"/>
      <c r="D33" s="14"/>
      <c r="E33" s="34"/>
      <c r="F33" s="34"/>
      <c r="G33" s="14"/>
      <c r="H33" s="14"/>
      <c r="I33" s="14"/>
      <c r="J33" s="35"/>
    </row>
  </sheetData>
  <mergeCells count="4">
    <mergeCell ref="A1:J1"/>
    <mergeCell ref="A2:J2"/>
    <mergeCell ref="C8:D8"/>
    <mergeCell ref="C9:D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P29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12.5703125" defaultRowHeight="15.75" customHeight="1" x14ac:dyDescent="0.2"/>
  <cols>
    <col min="1" max="1" width="31.140625" bestFit="1" customWidth="1"/>
    <col min="2" max="2" width="19.140625" bestFit="1" customWidth="1"/>
    <col min="3" max="3" width="5.5703125" bestFit="1" customWidth="1"/>
    <col min="4" max="4" width="15.140625" bestFit="1" customWidth="1"/>
    <col min="5" max="7" width="9.28515625" bestFit="1" customWidth="1"/>
    <col min="8" max="8" width="9.85546875" bestFit="1" customWidth="1"/>
    <col min="9" max="11" width="9.42578125" bestFit="1" customWidth="1"/>
    <col min="12" max="13" width="8.85546875" bestFit="1" customWidth="1"/>
    <col min="14" max="16" width="9.7109375" bestFit="1" customWidth="1"/>
  </cols>
  <sheetData>
    <row r="1" spans="1:16" ht="15.75" customHeight="1" x14ac:dyDescent="0.4">
      <c r="A1" s="1" t="s">
        <v>33</v>
      </c>
      <c r="B1" s="1"/>
      <c r="C1" s="1">
        <v>6</v>
      </c>
      <c r="D1" s="1" t="s">
        <v>1</v>
      </c>
      <c r="E1" s="2"/>
      <c r="F1" s="3">
        <f ca="1">COUNTIF(C4:C104,"&gt;"&amp;0)+3</f>
        <v>21</v>
      </c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45765</v>
      </c>
      <c r="G2" s="6">
        <v>45768</v>
      </c>
      <c r="H2" s="6">
        <v>45802</v>
      </c>
      <c r="I2" s="6">
        <v>45809</v>
      </c>
      <c r="J2" s="6">
        <v>45816</v>
      </c>
      <c r="K2" s="6">
        <v>45837</v>
      </c>
      <c r="L2" s="6">
        <v>45858</v>
      </c>
      <c r="M2" s="6">
        <v>45865</v>
      </c>
      <c r="N2" s="7">
        <v>45885</v>
      </c>
      <c r="O2" s="8">
        <v>45928</v>
      </c>
      <c r="P2" s="6">
        <v>45557</v>
      </c>
    </row>
    <row r="3" spans="1:16" x14ac:dyDescent="0.2">
      <c r="A3" s="9"/>
      <c r="B3" s="9"/>
      <c r="C3" s="9"/>
      <c r="D3" s="9"/>
      <c r="E3" s="9">
        <v>10</v>
      </c>
      <c r="F3" s="9">
        <v>25</v>
      </c>
      <c r="G3" s="9">
        <v>10</v>
      </c>
      <c r="H3" s="9">
        <v>25</v>
      </c>
      <c r="I3" s="9">
        <v>10</v>
      </c>
      <c r="J3" s="9">
        <v>10</v>
      </c>
      <c r="K3" s="9">
        <v>50</v>
      </c>
      <c r="L3" s="9">
        <v>50</v>
      </c>
      <c r="M3" s="9">
        <v>25</v>
      </c>
      <c r="N3" s="10">
        <v>10</v>
      </c>
      <c r="O3" s="11">
        <v>25</v>
      </c>
      <c r="P3" s="9">
        <v>48</v>
      </c>
    </row>
    <row r="4" spans="1:16" x14ac:dyDescent="0.2">
      <c r="A4" s="12">
        <f t="shared" ref="A4:A21" ca="1" si="0">RANK(C4,$C$4:$C$34)</f>
        <v>1</v>
      </c>
      <c r="B4" s="13" t="s">
        <v>12</v>
      </c>
      <c r="C4" s="14">
        <f t="array" aca="1" ref="C4" ca="1">SUM(LARGE(E4:P4,{1,2,3,4,5,6}))</f>
        <v>174</v>
      </c>
      <c r="D4" s="14">
        <f t="shared" ref="D4:D21" ca="1" si="1">COUNTIF(E4:P4,"&gt;"&amp;0)</f>
        <v>3</v>
      </c>
      <c r="E4" s="14">
        <f ca="1">SUMPRODUCT((Input!$L$3:$L$1000=E$2)*(Input!$O$3:$O$1000=$B4)*(Input!$AG$3:$AG$1000))</f>
        <v>0</v>
      </c>
      <c r="F4" s="14">
        <f ca="1">SUMPRODUCT((Input!$L$3:$L$1000=F$2)*(Input!$O$3:$O$1000=$B4)*(Input!$AG$3:$AG$1000))</f>
        <v>0</v>
      </c>
      <c r="G4" s="14">
        <f ca="1">SUMPRODUCT((Input!$L$3:$L$1000=G$2)*(Input!$O$3:$O$1000=$B4)*(Input!$AG$3:$AG$1000))</f>
        <v>55</v>
      </c>
      <c r="H4" s="14">
        <f ca="1">SUMPRODUCT((Input!$L$3:$L$1000=H$2)*(Input!$O$3:$O$1000=$B4)*(Input!$AG$3:$AG$1000))</f>
        <v>0</v>
      </c>
      <c r="I4" s="14">
        <f ca="1">SUMPRODUCT((Input!$L$3:$L$1000=I$2)*(Input!$O$3:$O$1000=$B4)*(Input!$AG$3:$AG$1000))</f>
        <v>0</v>
      </c>
      <c r="J4" s="14">
        <f ca="1">SUMPRODUCT((Input!$L$3:$L$1000=J$2)*(Input!$O$3:$O$1000=$B4)*(Input!$AG$3:$AG$1000))</f>
        <v>0</v>
      </c>
      <c r="K4" s="14">
        <f ca="1">SUMPRODUCT((Input!$L$3:$L$1000=K$2)*(Input!$O$3:$O$1000=$B4)*(Input!$AG$3:$AG$1000))</f>
        <v>60</v>
      </c>
      <c r="L4" s="14">
        <f ca="1">SUMPRODUCT((Input!$L$3:$L$1000=L$2)*(Input!$O$3:$O$1000=$B4)*(Input!$AG$3:$AG$1000))</f>
        <v>0</v>
      </c>
      <c r="M4" s="14">
        <f ca="1">SUMPRODUCT((Input!$L$3:$L$1000=M$2)*(Input!$O$3:$O$1000=$B4)*(Input!$AG$3:$AG$1000))</f>
        <v>59</v>
      </c>
      <c r="N4" s="14">
        <f ca="1">SUMPRODUCT((Input!$L$3:$L$1000=N$2)*(Input!$O$3:$O$1000=$B4)*(Input!$AG$3:$AG$1000))</f>
        <v>0</v>
      </c>
      <c r="O4" s="14">
        <f ca="1">SUMPRODUCT((Input!$L$3:$L$1000=O$2)*(Input!$O$3:$O$1000=$B4)*(Input!$AG$3:$AG$1000))</f>
        <v>0</v>
      </c>
      <c r="P4" s="14">
        <f ca="1">SUMPRODUCT((Input!$L$3:$L$1000=P$2)*(Input!$O$3:$O$1000=$B4)*(Input!$AG$3:$AG$1000))</f>
        <v>0</v>
      </c>
    </row>
    <row r="5" spans="1:16" x14ac:dyDescent="0.2">
      <c r="A5" s="12">
        <f t="shared" ca="1" si="0"/>
        <v>2</v>
      </c>
      <c r="B5" s="13" t="s">
        <v>16</v>
      </c>
      <c r="C5" s="14">
        <f t="array" aca="1" ref="C5" ca="1">SUM(LARGE(E5:P5,{1,2,3,4,5,6}))</f>
        <v>120</v>
      </c>
      <c r="D5" s="14">
        <f t="shared" ca="1" si="1"/>
        <v>2</v>
      </c>
      <c r="E5" s="14">
        <f ca="1">SUMPRODUCT((Input!$L$3:$L$1000=E$2)*(Input!$O$3:$O$1000=$B5)*(Input!$AG$3:$AG$1000))</f>
        <v>0</v>
      </c>
      <c r="F5" s="14">
        <f ca="1">SUMPRODUCT((Input!$L$3:$L$1000=F$2)*(Input!$O$3:$O$1000=$B5)*(Input!$AG$3:$AG$1000))</f>
        <v>0</v>
      </c>
      <c r="G5" s="14">
        <f ca="1">SUMPRODUCT((Input!$L$3:$L$1000=G$2)*(Input!$O$3:$O$1000=$B5)*(Input!$AG$3:$AG$1000))</f>
        <v>60</v>
      </c>
      <c r="H5" s="14">
        <f ca="1">SUMPRODUCT((Input!$L$3:$L$1000=H$2)*(Input!$O$3:$O$1000=$B5)*(Input!$AG$3:$AG$1000))</f>
        <v>0</v>
      </c>
      <c r="I5" s="14">
        <f ca="1">SUMPRODUCT((Input!$L$3:$L$1000=I$2)*(Input!$O$3:$O$1000=$B5)*(Input!$AG$3:$AG$1000))</f>
        <v>0</v>
      </c>
      <c r="J5" s="14">
        <f ca="1">SUMPRODUCT((Input!$L$3:$L$1000=J$2)*(Input!$O$3:$O$1000=$B5)*(Input!$AG$3:$AG$1000))</f>
        <v>0</v>
      </c>
      <c r="K5" s="14">
        <f ca="1">SUMPRODUCT((Input!$L$3:$L$1000=K$2)*(Input!$O$3:$O$1000=$B5)*(Input!$AG$3:$AG$1000))</f>
        <v>0</v>
      </c>
      <c r="L5" s="14">
        <f ca="1">SUMPRODUCT((Input!$L$3:$L$1000=L$2)*(Input!$O$3:$O$1000=$B5)*(Input!$AG$3:$AG$1000))</f>
        <v>0</v>
      </c>
      <c r="M5" s="14">
        <f ca="1">SUMPRODUCT((Input!$L$3:$L$1000=M$2)*(Input!$O$3:$O$1000=$B5)*(Input!$AG$3:$AG$1000))</f>
        <v>60</v>
      </c>
      <c r="N5" s="14">
        <f ca="1">SUMPRODUCT((Input!$L$3:$L$1000=N$2)*(Input!$O$3:$O$1000=$B5)*(Input!$AG$3:$AG$1000))</f>
        <v>0</v>
      </c>
      <c r="O5" s="14">
        <f ca="1">SUMPRODUCT((Input!$L$3:$L$1000=O$2)*(Input!$O$3:$O$1000=$B5)*(Input!$AG$3:$AG$1000))</f>
        <v>0</v>
      </c>
      <c r="P5" s="14">
        <f ca="1">SUMPRODUCT((Input!$L$3:$L$1000=P$2)*(Input!$O$3:$O$1000=$B5)*(Input!$AG$3:$AG$1000))</f>
        <v>0</v>
      </c>
    </row>
    <row r="6" spans="1:16" x14ac:dyDescent="0.2">
      <c r="A6" s="12">
        <f t="shared" ca="1" si="0"/>
        <v>3</v>
      </c>
      <c r="B6" s="13" t="s">
        <v>17</v>
      </c>
      <c r="C6" s="14">
        <f t="array" aca="1" ref="C6" ca="1">SUM(LARGE(E6:P6,{1,2,3,4,5,6}))</f>
        <v>117</v>
      </c>
      <c r="D6" s="14">
        <f t="shared" ca="1" si="1"/>
        <v>2</v>
      </c>
      <c r="E6" s="14">
        <f ca="1">SUMPRODUCT((Input!$L$3:$L$1000=E$2)*(Input!$O$3:$O$1000=$B6)*(Input!$AG$3:$AG$1000))</f>
        <v>0</v>
      </c>
      <c r="F6" s="14">
        <f ca="1">SUMPRODUCT((Input!$L$3:$L$1000=F$2)*(Input!$O$3:$O$1000=$B6)*(Input!$AG$3:$AG$1000))</f>
        <v>0</v>
      </c>
      <c r="G6" s="14">
        <f ca="1">SUMPRODUCT((Input!$L$3:$L$1000=G$2)*(Input!$O$3:$O$1000=$B6)*(Input!$AG$3:$AG$1000))</f>
        <v>58</v>
      </c>
      <c r="H6" s="14">
        <f ca="1">SUMPRODUCT((Input!$L$3:$L$1000=H$2)*(Input!$O$3:$O$1000=$B6)*(Input!$AG$3:$AG$1000))</f>
        <v>0</v>
      </c>
      <c r="I6" s="14">
        <f ca="1">SUMPRODUCT((Input!$L$3:$L$1000=I$2)*(Input!$O$3:$O$1000=$B6)*(Input!$AG$3:$AG$1000))</f>
        <v>0</v>
      </c>
      <c r="J6" s="14">
        <f ca="1">SUMPRODUCT((Input!$L$3:$L$1000=J$2)*(Input!$O$3:$O$1000=$B6)*(Input!$AG$3:$AG$1000))</f>
        <v>59</v>
      </c>
      <c r="K6" s="14">
        <f ca="1">SUMPRODUCT((Input!$L$3:$L$1000=K$2)*(Input!$O$3:$O$1000=$B6)*(Input!$AG$3:$AG$1000))</f>
        <v>0</v>
      </c>
      <c r="L6" s="14">
        <f ca="1">SUMPRODUCT((Input!$L$3:$L$1000=L$2)*(Input!$O$3:$O$1000=$B6)*(Input!$AG$3:$AG$1000))</f>
        <v>0</v>
      </c>
      <c r="M6" s="14">
        <f ca="1">SUMPRODUCT((Input!$L$3:$L$1000=M$2)*(Input!$O$3:$O$1000=$B6)*(Input!$AG$3:$AG$1000))</f>
        <v>0</v>
      </c>
      <c r="N6" s="14">
        <f ca="1">SUMPRODUCT((Input!$L$3:$L$1000=N$2)*(Input!$O$3:$O$1000=$B6)*(Input!$AG$3:$AG$1000))</f>
        <v>0</v>
      </c>
      <c r="O6" s="14">
        <f ca="1">SUMPRODUCT((Input!$L$3:$L$1000=O$2)*(Input!$O$3:$O$1000=$B6)*(Input!$AG$3:$AG$1000))</f>
        <v>0</v>
      </c>
      <c r="P6" s="14">
        <f ca="1">SUMPRODUCT((Input!$L$3:$L$1000=P$2)*(Input!$O$3:$O$1000=$B6)*(Input!$AG$3:$AG$1000))</f>
        <v>0</v>
      </c>
    </row>
    <row r="7" spans="1:16" x14ac:dyDescent="0.2">
      <c r="A7" s="12">
        <f t="shared" ca="1" si="0"/>
        <v>4</v>
      </c>
      <c r="B7" s="13" t="s">
        <v>18</v>
      </c>
      <c r="C7" s="14">
        <f t="array" aca="1" ref="C7" ca="1">SUM(LARGE(E7:P7,{1,2,3,4,5,6}))</f>
        <v>115</v>
      </c>
      <c r="D7" s="14">
        <f t="shared" ca="1" si="1"/>
        <v>2</v>
      </c>
      <c r="E7" s="14">
        <f ca="1">SUMPRODUCT((Input!$L$3:$L$1000=E$2)*(Input!$O$3:$O$1000=$B7)*(Input!$AG$3:$AG$1000))</f>
        <v>0</v>
      </c>
      <c r="F7" s="14">
        <f ca="1">SUMPRODUCT((Input!$L$3:$L$1000=F$2)*(Input!$O$3:$O$1000=$B7)*(Input!$AG$3:$AG$1000))</f>
        <v>0</v>
      </c>
      <c r="G7" s="14">
        <f ca="1">SUMPRODUCT((Input!$L$3:$L$1000=G$2)*(Input!$O$3:$O$1000=$B7)*(Input!$AG$3:$AG$1000))</f>
        <v>56</v>
      </c>
      <c r="H7" s="14">
        <f ca="1">SUMPRODUCT((Input!$L$3:$L$1000=H$2)*(Input!$O$3:$O$1000=$B7)*(Input!$AG$3:$AG$1000))</f>
        <v>0</v>
      </c>
      <c r="I7" s="14">
        <f ca="1">SUMPRODUCT((Input!$L$3:$L$1000=I$2)*(Input!$O$3:$O$1000=$B7)*(Input!$AG$3:$AG$1000))</f>
        <v>0</v>
      </c>
      <c r="J7" s="14">
        <f ca="1">SUMPRODUCT((Input!$L$3:$L$1000=J$2)*(Input!$O$3:$O$1000=$B7)*(Input!$AG$3:$AG$1000))</f>
        <v>59</v>
      </c>
      <c r="K7" s="14">
        <f ca="1">SUMPRODUCT((Input!$L$3:$L$1000=K$2)*(Input!$O$3:$O$1000=$B7)*(Input!$AG$3:$AG$1000))</f>
        <v>0</v>
      </c>
      <c r="L7" s="14">
        <f ca="1">SUMPRODUCT((Input!$L$3:$L$1000=L$2)*(Input!$O$3:$O$1000=$B7)*(Input!$AG$3:$AG$1000))</f>
        <v>0</v>
      </c>
      <c r="M7" s="14">
        <f ca="1">SUMPRODUCT((Input!$L$3:$L$1000=M$2)*(Input!$O$3:$O$1000=$B7)*(Input!$AG$3:$AG$1000))</f>
        <v>0</v>
      </c>
      <c r="N7" s="14">
        <f ca="1">SUMPRODUCT((Input!$L$3:$L$1000=N$2)*(Input!$O$3:$O$1000=$B7)*(Input!$AG$3:$AG$1000))</f>
        <v>0</v>
      </c>
      <c r="O7" s="14">
        <f ca="1">SUMPRODUCT((Input!$L$3:$L$1000=O$2)*(Input!$O$3:$O$1000=$B7)*(Input!$AG$3:$AG$1000))</f>
        <v>0</v>
      </c>
      <c r="P7" s="14">
        <f ca="1">SUMPRODUCT((Input!$L$3:$L$1000=P$2)*(Input!$O$3:$O$1000=$B7)*(Input!$AG$3:$AG$1000))</f>
        <v>0</v>
      </c>
    </row>
    <row r="8" spans="1:16" x14ac:dyDescent="0.2">
      <c r="A8" s="12">
        <f t="shared" ca="1" si="0"/>
        <v>5</v>
      </c>
      <c r="B8" s="13" t="s">
        <v>19</v>
      </c>
      <c r="C8" s="14">
        <f t="array" aca="1" ref="C8" ca="1">SUM(LARGE(E8:P8,{1,2,3,4,5,6}))</f>
        <v>105</v>
      </c>
      <c r="D8" s="14">
        <f t="shared" ca="1" si="1"/>
        <v>2</v>
      </c>
      <c r="E8" s="14">
        <f ca="1">SUMPRODUCT((Input!$L$3:$L$1000=E$2)*(Input!$O$3:$O$1000=$B8)*(Input!$AG$3:$AG$1000))</f>
        <v>0</v>
      </c>
      <c r="F8" s="14">
        <f ca="1">SUMPRODUCT((Input!$L$3:$L$1000=F$2)*(Input!$O$3:$O$1000=$B8)*(Input!$AG$3:$AG$1000))</f>
        <v>0</v>
      </c>
      <c r="G8" s="14">
        <f ca="1">SUMPRODUCT((Input!$L$3:$L$1000=G$2)*(Input!$O$3:$O$1000=$B8)*(Input!$AG$3:$AG$1000))</f>
        <v>49</v>
      </c>
      <c r="H8" s="14">
        <f ca="1">SUMPRODUCT((Input!$L$3:$L$1000=H$2)*(Input!$O$3:$O$1000=$B8)*(Input!$AG$3:$AG$1000))</f>
        <v>0</v>
      </c>
      <c r="I8" s="14">
        <f ca="1">SUMPRODUCT((Input!$L$3:$L$1000=I$2)*(Input!$O$3:$O$1000=$B8)*(Input!$AG$3:$AG$1000))</f>
        <v>0</v>
      </c>
      <c r="J8" s="14">
        <f ca="1">SUMPRODUCT((Input!$L$3:$L$1000=J$2)*(Input!$O$3:$O$1000=$B8)*(Input!$AG$3:$AG$1000))</f>
        <v>56</v>
      </c>
      <c r="K8" s="14">
        <f ca="1">SUMPRODUCT((Input!$L$3:$L$1000=K$2)*(Input!$O$3:$O$1000=$B8)*(Input!$AG$3:$AG$1000))</f>
        <v>0</v>
      </c>
      <c r="L8" s="14">
        <f ca="1">SUMPRODUCT((Input!$L$3:$L$1000=L$2)*(Input!$O$3:$O$1000=$B8)*(Input!$AG$3:$AG$1000))</f>
        <v>0</v>
      </c>
      <c r="M8" s="14">
        <f ca="1">SUMPRODUCT((Input!$L$3:$L$1000=M$2)*(Input!$O$3:$O$1000=$B8)*(Input!$AG$3:$AG$1000))</f>
        <v>0</v>
      </c>
      <c r="N8" s="14">
        <f ca="1">SUMPRODUCT((Input!$L$3:$L$1000=N$2)*(Input!$O$3:$O$1000=$B8)*(Input!$AG$3:$AG$1000))</f>
        <v>0</v>
      </c>
      <c r="O8" s="14">
        <f ca="1">SUMPRODUCT((Input!$L$3:$L$1000=O$2)*(Input!$O$3:$O$1000=$B8)*(Input!$AG$3:$AG$1000))</f>
        <v>0</v>
      </c>
      <c r="P8" s="14">
        <f ca="1">SUMPRODUCT((Input!$L$3:$L$1000=P$2)*(Input!$O$3:$O$1000=$B8)*(Input!$AG$3:$AG$1000))</f>
        <v>0</v>
      </c>
    </row>
    <row r="9" spans="1:16" x14ac:dyDescent="0.2">
      <c r="A9" s="12">
        <f t="shared" ca="1" si="0"/>
        <v>6</v>
      </c>
      <c r="B9" s="13" t="s">
        <v>20</v>
      </c>
      <c r="C9" s="14">
        <f t="array" aca="1" ref="C9" ca="1">SUM(LARGE(E9:P9,{1,2,3,4,5,6}))</f>
        <v>103</v>
      </c>
      <c r="D9" s="14">
        <f t="shared" ca="1" si="1"/>
        <v>2</v>
      </c>
      <c r="E9" s="14">
        <f ca="1">SUMPRODUCT((Input!$L$3:$L$1000=E$2)*(Input!$O$3:$O$1000=$B9)*(Input!$AG$3:$AG$1000))</f>
        <v>0</v>
      </c>
      <c r="F9" s="14">
        <f ca="1">SUMPRODUCT((Input!$L$3:$L$1000=F$2)*(Input!$O$3:$O$1000=$B9)*(Input!$AG$3:$AG$1000))</f>
        <v>0</v>
      </c>
      <c r="G9" s="14">
        <f ca="1">SUMPRODUCT((Input!$L$3:$L$1000=G$2)*(Input!$O$3:$O$1000=$B9)*(Input!$AG$3:$AG$1000))</f>
        <v>48</v>
      </c>
      <c r="H9" s="14">
        <f ca="1">SUMPRODUCT((Input!$L$3:$L$1000=H$2)*(Input!$O$3:$O$1000=$B9)*(Input!$AG$3:$AG$1000))</f>
        <v>0</v>
      </c>
      <c r="I9" s="14">
        <f ca="1">SUMPRODUCT((Input!$L$3:$L$1000=I$2)*(Input!$O$3:$O$1000=$B9)*(Input!$AG$3:$AG$1000))</f>
        <v>0</v>
      </c>
      <c r="J9" s="14">
        <f ca="1">SUMPRODUCT((Input!$L$3:$L$1000=J$2)*(Input!$O$3:$O$1000=$B9)*(Input!$AG$3:$AG$1000))</f>
        <v>55</v>
      </c>
      <c r="K9" s="14">
        <f ca="1">SUMPRODUCT((Input!$L$3:$L$1000=K$2)*(Input!$O$3:$O$1000=$B9)*(Input!$AG$3:$AG$1000))</f>
        <v>0</v>
      </c>
      <c r="L9" s="14">
        <f ca="1">SUMPRODUCT((Input!$L$3:$L$1000=L$2)*(Input!$O$3:$O$1000=$B9)*(Input!$AG$3:$AG$1000))</f>
        <v>0</v>
      </c>
      <c r="M9" s="14">
        <f ca="1">SUMPRODUCT((Input!$L$3:$L$1000=M$2)*(Input!$O$3:$O$1000=$B9)*(Input!$AG$3:$AG$1000))</f>
        <v>0</v>
      </c>
      <c r="N9" s="14">
        <f ca="1">SUMPRODUCT((Input!$L$3:$L$1000=N$2)*(Input!$O$3:$O$1000=$B9)*(Input!$AG$3:$AG$1000))</f>
        <v>0</v>
      </c>
      <c r="O9" s="14">
        <f ca="1">SUMPRODUCT((Input!$L$3:$L$1000=O$2)*(Input!$O$3:$O$1000=$B9)*(Input!$AG$3:$AG$1000))</f>
        <v>0</v>
      </c>
      <c r="P9" s="14">
        <f ca="1">SUMPRODUCT((Input!$L$3:$L$1000=P$2)*(Input!$O$3:$O$1000=$B9)*(Input!$AG$3:$AG$1000))</f>
        <v>0</v>
      </c>
    </row>
    <row r="10" spans="1:16" x14ac:dyDescent="0.2">
      <c r="A10" s="12">
        <f t="shared" ca="1" si="0"/>
        <v>7</v>
      </c>
      <c r="B10" s="13" t="s">
        <v>21</v>
      </c>
      <c r="C10" s="14">
        <f t="array" aca="1" ref="C10" ca="1">SUM(LARGE(E10:P10,{1,2,3,4,5,6}))</f>
        <v>99</v>
      </c>
      <c r="D10" s="14">
        <f t="shared" ca="1" si="1"/>
        <v>2</v>
      </c>
      <c r="E10" s="14">
        <f ca="1">SUMPRODUCT((Input!$L$3:$L$1000=E$2)*(Input!$O$3:$O$1000=$B10)*(Input!$AG$3:$AG$1000))</f>
        <v>0</v>
      </c>
      <c r="F10" s="14">
        <f ca="1">SUMPRODUCT((Input!$L$3:$L$1000=F$2)*(Input!$O$3:$O$1000=$B10)*(Input!$AG$3:$AG$1000))</f>
        <v>0</v>
      </c>
      <c r="G10" s="14">
        <f ca="1">SUMPRODUCT((Input!$L$3:$L$1000=G$2)*(Input!$O$3:$O$1000=$B10)*(Input!$AG$3:$AG$1000))</f>
        <v>46</v>
      </c>
      <c r="H10" s="14">
        <f ca="1">SUMPRODUCT((Input!$L$3:$L$1000=H$2)*(Input!$O$3:$O$1000=$B10)*(Input!$AG$3:$AG$1000))</f>
        <v>0</v>
      </c>
      <c r="I10" s="14">
        <f ca="1">SUMPRODUCT((Input!$L$3:$L$1000=I$2)*(Input!$O$3:$O$1000=$B10)*(Input!$AG$3:$AG$1000))</f>
        <v>0</v>
      </c>
      <c r="J10" s="14">
        <f ca="1">SUMPRODUCT((Input!$L$3:$L$1000=J$2)*(Input!$O$3:$O$1000=$B10)*(Input!$AG$3:$AG$1000))</f>
        <v>53</v>
      </c>
      <c r="K10" s="14">
        <f ca="1">SUMPRODUCT((Input!$L$3:$L$1000=K$2)*(Input!$O$3:$O$1000=$B10)*(Input!$AG$3:$AG$1000))</f>
        <v>0</v>
      </c>
      <c r="L10" s="14">
        <f ca="1">SUMPRODUCT((Input!$L$3:$L$1000=L$2)*(Input!$O$3:$O$1000=$B10)*(Input!$AG$3:$AG$1000))</f>
        <v>0</v>
      </c>
      <c r="M10" s="14">
        <f ca="1">SUMPRODUCT((Input!$L$3:$L$1000=M$2)*(Input!$O$3:$O$1000=$B10)*(Input!$AG$3:$AG$1000))</f>
        <v>0</v>
      </c>
      <c r="N10" s="14">
        <f ca="1">SUMPRODUCT((Input!$L$3:$L$1000=N$2)*(Input!$O$3:$O$1000=$B10)*(Input!$AG$3:$AG$1000))</f>
        <v>0</v>
      </c>
      <c r="O10" s="14">
        <f ca="1">SUMPRODUCT((Input!$L$3:$L$1000=O$2)*(Input!$O$3:$O$1000=$B10)*(Input!$AG$3:$AG$1000))</f>
        <v>0</v>
      </c>
      <c r="P10" s="14">
        <f ca="1">SUMPRODUCT((Input!$L$3:$L$1000=P$2)*(Input!$O$3:$O$1000=$B10)*(Input!$AG$3:$AG$1000))</f>
        <v>0</v>
      </c>
    </row>
    <row r="11" spans="1:16" x14ac:dyDescent="0.2">
      <c r="A11" s="12">
        <f t="shared" ca="1" si="0"/>
        <v>8</v>
      </c>
      <c r="B11" s="13" t="s">
        <v>22</v>
      </c>
      <c r="C11" s="14">
        <f t="array" aca="1" ref="C11" ca="1">SUM(LARGE(E11:P11,{1,2,3,4,5,6}))</f>
        <v>60</v>
      </c>
      <c r="D11" s="14">
        <f t="shared" ca="1" si="1"/>
        <v>1</v>
      </c>
      <c r="E11" s="14">
        <f ca="1">SUMPRODUCT((Input!$L$3:$L$1000=E$2)*(Input!$O$3:$O$1000=$B11)*(Input!$AG$3:$AG$1000))</f>
        <v>0</v>
      </c>
      <c r="F11" s="14">
        <f ca="1">SUMPRODUCT((Input!$L$3:$L$1000=F$2)*(Input!$O$3:$O$1000=$B11)*(Input!$AG$3:$AG$1000))</f>
        <v>0</v>
      </c>
      <c r="G11" s="14">
        <f ca="1">SUMPRODUCT((Input!$L$3:$L$1000=G$2)*(Input!$O$3:$O$1000=$B11)*(Input!$AG$3:$AG$1000))</f>
        <v>0</v>
      </c>
      <c r="H11" s="14">
        <f ca="1">SUMPRODUCT((Input!$L$3:$L$1000=H$2)*(Input!$O$3:$O$1000=$B11)*(Input!$AG$3:$AG$1000))</f>
        <v>0</v>
      </c>
      <c r="I11" s="14">
        <f ca="1">SUMPRODUCT((Input!$L$3:$L$1000=I$2)*(Input!$O$3:$O$1000=$B11)*(Input!$AG$3:$AG$1000))</f>
        <v>0</v>
      </c>
      <c r="J11" s="14">
        <f ca="1">SUMPRODUCT((Input!$L$3:$L$1000=J$2)*(Input!$O$3:$O$1000=$B11)*(Input!$AG$3:$AG$1000))</f>
        <v>60</v>
      </c>
      <c r="K11" s="14">
        <f ca="1">SUMPRODUCT((Input!$L$3:$L$1000=K$2)*(Input!$O$3:$O$1000=$B11)*(Input!$AG$3:$AG$1000))</f>
        <v>0</v>
      </c>
      <c r="L11" s="14">
        <f ca="1">SUMPRODUCT((Input!$L$3:$L$1000=L$2)*(Input!$O$3:$O$1000=$B11)*(Input!$AG$3:$AG$1000))</f>
        <v>0</v>
      </c>
      <c r="M11" s="14">
        <f ca="1">SUMPRODUCT((Input!$L$3:$L$1000=M$2)*(Input!$O$3:$O$1000=$B11)*(Input!$AG$3:$AG$1000))</f>
        <v>0</v>
      </c>
      <c r="N11" s="14">
        <f ca="1">SUMPRODUCT((Input!$L$3:$L$1000=N$2)*(Input!$O$3:$O$1000=$B11)*(Input!$AG$3:$AG$1000))</f>
        <v>0</v>
      </c>
      <c r="O11" s="14">
        <f ca="1">SUMPRODUCT((Input!$L$3:$L$1000=O$2)*(Input!$O$3:$O$1000=$B11)*(Input!$AG$3:$AG$1000))</f>
        <v>0</v>
      </c>
      <c r="P11" s="14">
        <f ca="1">SUMPRODUCT((Input!$L$3:$L$1000=P$2)*(Input!$O$3:$O$1000=$B11)*(Input!$AG$3:$AG$1000))</f>
        <v>0</v>
      </c>
    </row>
    <row r="12" spans="1:16" x14ac:dyDescent="0.2">
      <c r="A12" s="12">
        <f t="shared" ca="1" si="0"/>
        <v>9</v>
      </c>
      <c r="B12" s="13" t="s">
        <v>23</v>
      </c>
      <c r="C12" s="14">
        <f t="array" aca="1" ref="C12" ca="1">SUM(LARGE(E12:P12,{1,2,3,4,5,6}))</f>
        <v>59</v>
      </c>
      <c r="D12" s="14">
        <f t="shared" ca="1" si="1"/>
        <v>1</v>
      </c>
      <c r="E12" s="14">
        <f ca="1">SUMPRODUCT((Input!$L$3:$L$1000=E$2)*(Input!$O$3:$O$1000=$B12)*(Input!$AG$3:$AG$1000))</f>
        <v>0</v>
      </c>
      <c r="F12" s="14">
        <f ca="1">SUMPRODUCT((Input!$L$3:$L$1000=F$2)*(Input!$O$3:$O$1000=$B12)*(Input!$AG$3:$AG$1000))</f>
        <v>0</v>
      </c>
      <c r="G12" s="14">
        <f ca="1">SUMPRODUCT((Input!$L$3:$L$1000=G$2)*(Input!$O$3:$O$1000=$B12)*(Input!$AG$3:$AG$1000))</f>
        <v>59</v>
      </c>
      <c r="H12" s="14">
        <f ca="1">SUMPRODUCT((Input!$L$3:$L$1000=H$2)*(Input!$O$3:$O$1000=$B12)*(Input!$AG$3:$AG$1000))</f>
        <v>0</v>
      </c>
      <c r="I12" s="14">
        <f ca="1">SUMPRODUCT((Input!$L$3:$L$1000=I$2)*(Input!$O$3:$O$1000=$B12)*(Input!$AG$3:$AG$1000))</f>
        <v>0</v>
      </c>
      <c r="J12" s="14">
        <f ca="1">SUMPRODUCT((Input!$L$3:$L$1000=J$2)*(Input!$O$3:$O$1000=$B12)*(Input!$AG$3:$AG$1000))</f>
        <v>0</v>
      </c>
      <c r="K12" s="14">
        <f ca="1">SUMPRODUCT((Input!$L$3:$L$1000=K$2)*(Input!$O$3:$O$1000=$B12)*(Input!$AG$3:$AG$1000))</f>
        <v>0</v>
      </c>
      <c r="L12" s="14">
        <f ca="1">SUMPRODUCT((Input!$L$3:$L$1000=L$2)*(Input!$O$3:$O$1000=$B12)*(Input!$AG$3:$AG$1000))</f>
        <v>0</v>
      </c>
      <c r="M12" s="14">
        <f ca="1">SUMPRODUCT((Input!$L$3:$L$1000=M$2)*(Input!$O$3:$O$1000=$B12)*(Input!$AG$3:$AG$1000))</f>
        <v>0</v>
      </c>
      <c r="N12" s="14">
        <f ca="1">SUMPRODUCT((Input!$L$3:$L$1000=N$2)*(Input!$O$3:$O$1000=$B12)*(Input!$AG$3:$AG$1000))</f>
        <v>0</v>
      </c>
      <c r="O12" s="14">
        <f ca="1">SUMPRODUCT((Input!$L$3:$L$1000=O$2)*(Input!$O$3:$O$1000=$B12)*(Input!$AG$3:$AG$1000))</f>
        <v>0</v>
      </c>
      <c r="P12" s="14">
        <f ca="1">SUMPRODUCT((Input!$L$3:$L$1000=P$2)*(Input!$O$3:$O$1000=$B12)*(Input!$AG$3:$AG$1000))</f>
        <v>0</v>
      </c>
    </row>
    <row r="13" spans="1:16" x14ac:dyDescent="0.2">
      <c r="A13" s="12">
        <f t="shared" ca="1" si="0"/>
        <v>10</v>
      </c>
      <c r="B13" s="13" t="s">
        <v>25</v>
      </c>
      <c r="C13" s="14">
        <f t="array" aca="1" ref="C13" ca="1">SUM(LARGE(E13:P13,{1,2,3,4,5,6}))</f>
        <v>57</v>
      </c>
      <c r="D13" s="14">
        <f t="shared" ca="1" si="1"/>
        <v>1</v>
      </c>
      <c r="E13" s="14">
        <f ca="1">SUMPRODUCT((Input!$L$3:$L$1000=E$2)*(Input!$O$3:$O$1000=$B13)*(Input!$AG$3:$AG$1000))</f>
        <v>0</v>
      </c>
      <c r="F13" s="14">
        <f ca="1">SUMPRODUCT((Input!$L$3:$L$1000=F$2)*(Input!$O$3:$O$1000=$B13)*(Input!$AG$3:$AG$1000))</f>
        <v>0</v>
      </c>
      <c r="G13" s="14">
        <f ca="1">SUMPRODUCT((Input!$L$3:$L$1000=G$2)*(Input!$O$3:$O$1000=$B13)*(Input!$AG$3:$AG$1000))</f>
        <v>57</v>
      </c>
      <c r="H13" s="14">
        <f ca="1">SUMPRODUCT((Input!$L$3:$L$1000=H$2)*(Input!$O$3:$O$1000=$B13)*(Input!$AG$3:$AG$1000))</f>
        <v>0</v>
      </c>
      <c r="I13" s="14">
        <f ca="1">SUMPRODUCT((Input!$L$3:$L$1000=I$2)*(Input!$O$3:$O$1000=$B13)*(Input!$AG$3:$AG$1000))</f>
        <v>0</v>
      </c>
      <c r="J13" s="14">
        <f ca="1">SUMPRODUCT((Input!$L$3:$L$1000=J$2)*(Input!$O$3:$O$1000=$B13)*(Input!$AG$3:$AG$1000))</f>
        <v>0</v>
      </c>
      <c r="K13" s="14">
        <f ca="1">SUMPRODUCT((Input!$L$3:$L$1000=K$2)*(Input!$O$3:$O$1000=$B13)*(Input!$AG$3:$AG$1000))</f>
        <v>0</v>
      </c>
      <c r="L13" s="14">
        <f ca="1">SUMPRODUCT((Input!$L$3:$L$1000=L$2)*(Input!$O$3:$O$1000=$B13)*(Input!$AG$3:$AG$1000))</f>
        <v>0</v>
      </c>
      <c r="M13" s="14">
        <f ca="1">SUMPRODUCT((Input!$L$3:$L$1000=M$2)*(Input!$O$3:$O$1000=$B13)*(Input!$AG$3:$AG$1000))</f>
        <v>0</v>
      </c>
      <c r="N13" s="14">
        <f ca="1">SUMPRODUCT((Input!$L$3:$L$1000=N$2)*(Input!$O$3:$O$1000=$B13)*(Input!$AG$3:$AG$1000))</f>
        <v>0</v>
      </c>
      <c r="O13" s="14">
        <f ca="1">SUMPRODUCT((Input!$L$3:$L$1000=O$2)*(Input!$O$3:$O$1000=$B13)*(Input!$AG$3:$AG$1000))</f>
        <v>0</v>
      </c>
      <c r="P13" s="14">
        <f ca="1">SUMPRODUCT((Input!$L$3:$L$1000=P$2)*(Input!$O$3:$O$1000=$B13)*(Input!$AG$3:$AG$1000))</f>
        <v>0</v>
      </c>
    </row>
    <row r="14" spans="1:16" x14ac:dyDescent="0.2">
      <c r="A14" s="12">
        <f t="shared" ca="1" si="0"/>
        <v>10</v>
      </c>
      <c r="B14" s="13" t="s">
        <v>26</v>
      </c>
      <c r="C14" s="14">
        <f t="array" aca="1" ref="C14" ca="1">SUM(LARGE(E14:P14,{1,2,3,4,5,6}))</f>
        <v>57</v>
      </c>
      <c r="D14" s="14">
        <f t="shared" ca="1" si="1"/>
        <v>1</v>
      </c>
      <c r="E14" s="14">
        <f ca="1">SUMPRODUCT((Input!$L$3:$L$1000=E$2)*(Input!$O$3:$O$1000=$B14)*(Input!$AG$3:$AG$1000))</f>
        <v>0</v>
      </c>
      <c r="F14" s="14">
        <f ca="1">SUMPRODUCT((Input!$L$3:$L$1000=F$2)*(Input!$O$3:$O$1000=$B14)*(Input!$AG$3:$AG$1000))</f>
        <v>0</v>
      </c>
      <c r="G14" s="14">
        <f ca="1">SUMPRODUCT((Input!$L$3:$L$1000=G$2)*(Input!$O$3:$O$1000=$B14)*(Input!$AG$3:$AG$1000))</f>
        <v>0</v>
      </c>
      <c r="H14" s="14">
        <f ca="1">SUMPRODUCT((Input!$L$3:$L$1000=H$2)*(Input!$O$3:$O$1000=$B14)*(Input!$AG$3:$AG$1000))</f>
        <v>0</v>
      </c>
      <c r="I14" s="14">
        <f ca="1">SUMPRODUCT((Input!$L$3:$L$1000=I$2)*(Input!$O$3:$O$1000=$B14)*(Input!$AG$3:$AG$1000))</f>
        <v>0</v>
      </c>
      <c r="J14" s="14">
        <f ca="1">SUMPRODUCT((Input!$L$3:$L$1000=J$2)*(Input!$O$3:$O$1000=$B14)*(Input!$AG$3:$AG$1000))</f>
        <v>57</v>
      </c>
      <c r="K14" s="14">
        <f ca="1">SUMPRODUCT((Input!$L$3:$L$1000=K$2)*(Input!$O$3:$O$1000=$B14)*(Input!$AG$3:$AG$1000))</f>
        <v>0</v>
      </c>
      <c r="L14" s="14">
        <f ca="1">SUMPRODUCT((Input!$L$3:$L$1000=L$2)*(Input!$O$3:$O$1000=$B14)*(Input!$AG$3:$AG$1000))</f>
        <v>0</v>
      </c>
      <c r="M14" s="14">
        <f ca="1">SUMPRODUCT((Input!$L$3:$L$1000=M$2)*(Input!$O$3:$O$1000=$B14)*(Input!$AG$3:$AG$1000))</f>
        <v>0</v>
      </c>
      <c r="N14" s="14">
        <f ca="1">SUMPRODUCT((Input!$L$3:$L$1000=N$2)*(Input!$O$3:$O$1000=$B14)*(Input!$AG$3:$AG$1000))</f>
        <v>0</v>
      </c>
      <c r="O14" s="14">
        <f ca="1">SUMPRODUCT((Input!$L$3:$L$1000=O$2)*(Input!$O$3:$O$1000=$B14)*(Input!$AG$3:$AG$1000))</f>
        <v>0</v>
      </c>
      <c r="P14" s="14">
        <f ca="1">SUMPRODUCT((Input!$L$3:$L$1000=P$2)*(Input!$O$3:$O$1000=$B14)*(Input!$AG$3:$AG$1000))</f>
        <v>0</v>
      </c>
    </row>
    <row r="15" spans="1:16" x14ac:dyDescent="0.2">
      <c r="A15" s="12">
        <f t="shared" ca="1" si="0"/>
        <v>12</v>
      </c>
      <c r="B15" s="13" t="s">
        <v>28</v>
      </c>
      <c r="C15" s="14">
        <f t="array" aca="1" ref="C15" ca="1">SUM(LARGE(E15:P15,{1,2,3,4,5,6}))</f>
        <v>54</v>
      </c>
      <c r="D15" s="14">
        <f t="shared" ca="1" si="1"/>
        <v>1</v>
      </c>
      <c r="E15" s="14">
        <f ca="1">SUMPRODUCT((Input!$L$3:$L$1000=E$2)*(Input!$O$3:$O$1000=$B15)*(Input!$AG$3:$AG$1000))</f>
        <v>0</v>
      </c>
      <c r="F15" s="14">
        <f ca="1">SUMPRODUCT((Input!$L$3:$L$1000=F$2)*(Input!$O$3:$O$1000=$B15)*(Input!$AG$3:$AG$1000))</f>
        <v>0</v>
      </c>
      <c r="G15" s="14">
        <f ca="1">SUMPRODUCT((Input!$L$3:$L$1000=G$2)*(Input!$O$3:$O$1000=$B15)*(Input!$AG$3:$AG$1000))</f>
        <v>54</v>
      </c>
      <c r="H15" s="14">
        <f ca="1">SUMPRODUCT((Input!$L$3:$L$1000=H$2)*(Input!$O$3:$O$1000=$B15)*(Input!$AG$3:$AG$1000))</f>
        <v>0</v>
      </c>
      <c r="I15" s="14">
        <f ca="1">SUMPRODUCT((Input!$L$3:$L$1000=I$2)*(Input!$O$3:$O$1000=$B15)*(Input!$AG$3:$AG$1000))</f>
        <v>0</v>
      </c>
      <c r="J15" s="14">
        <f ca="1">SUMPRODUCT((Input!$L$3:$L$1000=J$2)*(Input!$O$3:$O$1000=$B15)*(Input!$AG$3:$AG$1000))</f>
        <v>0</v>
      </c>
      <c r="K15" s="14">
        <f ca="1">SUMPRODUCT((Input!$L$3:$L$1000=K$2)*(Input!$O$3:$O$1000=$B15)*(Input!$AG$3:$AG$1000))</f>
        <v>0</v>
      </c>
      <c r="L15" s="14">
        <f ca="1">SUMPRODUCT((Input!$L$3:$L$1000=L$2)*(Input!$O$3:$O$1000=$B15)*(Input!$AG$3:$AG$1000))</f>
        <v>0</v>
      </c>
      <c r="M15" s="14">
        <f ca="1">SUMPRODUCT((Input!$L$3:$L$1000=M$2)*(Input!$O$3:$O$1000=$B15)*(Input!$AG$3:$AG$1000))</f>
        <v>0</v>
      </c>
      <c r="N15" s="14">
        <f ca="1">SUMPRODUCT((Input!$L$3:$L$1000=N$2)*(Input!$O$3:$O$1000=$B15)*(Input!$AG$3:$AG$1000))</f>
        <v>0</v>
      </c>
      <c r="O15" s="14">
        <f ca="1">SUMPRODUCT((Input!$L$3:$L$1000=O$2)*(Input!$O$3:$O$1000=$B15)*(Input!$AG$3:$AG$1000))</f>
        <v>0</v>
      </c>
      <c r="P15" s="14">
        <f ca="1">SUMPRODUCT((Input!$L$3:$L$1000=P$2)*(Input!$O$3:$O$1000=$B15)*(Input!$AG$3:$AG$1000))</f>
        <v>0</v>
      </c>
    </row>
    <row r="16" spans="1:16" x14ac:dyDescent="0.2">
      <c r="A16" s="12">
        <f t="shared" ca="1" si="0"/>
        <v>12</v>
      </c>
      <c r="B16" s="13" t="s">
        <v>27</v>
      </c>
      <c r="C16" s="14">
        <f t="array" aca="1" ref="C16" ca="1">SUM(LARGE(E16:P16,{1,2,3,4,5,6}))</f>
        <v>54</v>
      </c>
      <c r="D16" s="14">
        <f t="shared" ca="1" si="1"/>
        <v>1</v>
      </c>
      <c r="E16" s="14">
        <f ca="1">SUMPRODUCT((Input!$L$3:$L$1000=E$2)*(Input!$O$3:$O$1000=$B16)*(Input!$AG$3:$AG$1000))</f>
        <v>0</v>
      </c>
      <c r="F16" s="14">
        <f ca="1">SUMPRODUCT((Input!$L$3:$L$1000=F$2)*(Input!$O$3:$O$1000=$B16)*(Input!$AG$3:$AG$1000))</f>
        <v>0</v>
      </c>
      <c r="G16" s="14">
        <f ca="1">SUMPRODUCT((Input!$L$3:$L$1000=G$2)*(Input!$O$3:$O$1000=$B16)*(Input!$AG$3:$AG$1000))</f>
        <v>0</v>
      </c>
      <c r="H16" s="14">
        <f ca="1">SUMPRODUCT((Input!$L$3:$L$1000=H$2)*(Input!$O$3:$O$1000=$B16)*(Input!$AG$3:$AG$1000))</f>
        <v>0</v>
      </c>
      <c r="I16" s="14">
        <f ca="1">SUMPRODUCT((Input!$L$3:$L$1000=I$2)*(Input!$O$3:$O$1000=$B16)*(Input!$AG$3:$AG$1000))</f>
        <v>0</v>
      </c>
      <c r="J16" s="14">
        <f ca="1">SUMPRODUCT((Input!$L$3:$L$1000=J$2)*(Input!$O$3:$O$1000=$B16)*(Input!$AG$3:$AG$1000))</f>
        <v>54</v>
      </c>
      <c r="K16" s="14">
        <f ca="1">SUMPRODUCT((Input!$L$3:$L$1000=K$2)*(Input!$O$3:$O$1000=$B16)*(Input!$AG$3:$AG$1000))</f>
        <v>0</v>
      </c>
      <c r="L16" s="14">
        <f ca="1">SUMPRODUCT((Input!$L$3:$L$1000=L$2)*(Input!$O$3:$O$1000=$B16)*(Input!$AG$3:$AG$1000))</f>
        <v>0</v>
      </c>
      <c r="M16" s="14">
        <f ca="1">SUMPRODUCT((Input!$L$3:$L$1000=M$2)*(Input!$O$3:$O$1000=$B16)*(Input!$AG$3:$AG$1000))</f>
        <v>0</v>
      </c>
      <c r="N16" s="14">
        <f ca="1">SUMPRODUCT((Input!$L$3:$L$1000=N$2)*(Input!$O$3:$O$1000=$B16)*(Input!$AG$3:$AG$1000))</f>
        <v>0</v>
      </c>
      <c r="O16" s="14">
        <f ca="1">SUMPRODUCT((Input!$L$3:$L$1000=O$2)*(Input!$O$3:$O$1000=$B16)*(Input!$AG$3:$AG$1000))</f>
        <v>0</v>
      </c>
      <c r="P16" s="14">
        <f ca="1">SUMPRODUCT((Input!$L$3:$L$1000=P$2)*(Input!$O$3:$O$1000=$B16)*(Input!$AG$3:$AG$1000))</f>
        <v>0</v>
      </c>
    </row>
    <row r="17" spans="1:16" x14ac:dyDescent="0.2">
      <c r="A17" s="12">
        <f t="shared" ca="1" si="0"/>
        <v>14</v>
      </c>
      <c r="B17" s="13" t="s">
        <v>29</v>
      </c>
      <c r="C17" s="14">
        <f t="array" aca="1" ref="C17" ca="1">SUM(LARGE(E17:P17,{1,2,3,4,5,6}))</f>
        <v>53</v>
      </c>
      <c r="D17" s="14">
        <f t="shared" ca="1" si="1"/>
        <v>1</v>
      </c>
      <c r="E17" s="14">
        <f ca="1">SUMPRODUCT((Input!$L$3:$L$1000=E$2)*(Input!$O$3:$O$1000=$B17)*(Input!$AG$3:$AG$1000))</f>
        <v>0</v>
      </c>
      <c r="F17" s="14">
        <f ca="1">SUMPRODUCT((Input!$L$3:$L$1000=F$2)*(Input!$O$3:$O$1000=$B17)*(Input!$AG$3:$AG$1000))</f>
        <v>0</v>
      </c>
      <c r="G17" s="14">
        <f ca="1">SUMPRODUCT((Input!$L$3:$L$1000=G$2)*(Input!$O$3:$O$1000=$B17)*(Input!$AG$3:$AG$1000))</f>
        <v>53</v>
      </c>
      <c r="H17" s="14">
        <f ca="1">SUMPRODUCT((Input!$L$3:$L$1000=H$2)*(Input!$O$3:$O$1000=$B17)*(Input!$AG$3:$AG$1000))</f>
        <v>0</v>
      </c>
      <c r="I17" s="14">
        <f ca="1">SUMPRODUCT((Input!$L$3:$L$1000=I$2)*(Input!$O$3:$O$1000=$B17)*(Input!$AG$3:$AG$1000))</f>
        <v>0</v>
      </c>
      <c r="J17" s="14">
        <f ca="1">SUMPRODUCT((Input!$L$3:$L$1000=J$2)*(Input!$O$3:$O$1000=$B17)*(Input!$AG$3:$AG$1000))</f>
        <v>0</v>
      </c>
      <c r="K17" s="14">
        <f ca="1">SUMPRODUCT((Input!$L$3:$L$1000=K$2)*(Input!$O$3:$O$1000=$B17)*(Input!$AG$3:$AG$1000))</f>
        <v>0</v>
      </c>
      <c r="L17" s="14">
        <f ca="1">SUMPRODUCT((Input!$L$3:$L$1000=L$2)*(Input!$O$3:$O$1000=$B17)*(Input!$AG$3:$AG$1000))</f>
        <v>0</v>
      </c>
      <c r="M17" s="14">
        <f ca="1">SUMPRODUCT((Input!$L$3:$L$1000=M$2)*(Input!$O$3:$O$1000=$B17)*(Input!$AG$3:$AG$1000))</f>
        <v>0</v>
      </c>
      <c r="N17" s="14">
        <f ca="1">SUMPRODUCT((Input!$L$3:$L$1000=N$2)*(Input!$O$3:$O$1000=$B17)*(Input!$AG$3:$AG$1000))</f>
        <v>0</v>
      </c>
      <c r="O17" s="14">
        <f ca="1">SUMPRODUCT((Input!$L$3:$L$1000=O$2)*(Input!$O$3:$O$1000=$B17)*(Input!$AG$3:$AG$1000))</f>
        <v>0</v>
      </c>
      <c r="P17" s="14">
        <f ca="1">SUMPRODUCT((Input!$L$3:$L$1000=P$2)*(Input!$O$3:$O$1000=$B17)*(Input!$AG$3:$AG$1000))</f>
        <v>0</v>
      </c>
    </row>
    <row r="18" spans="1:16" x14ac:dyDescent="0.2">
      <c r="A18" s="12">
        <f t="shared" ca="1" si="0"/>
        <v>15</v>
      </c>
      <c r="B18" s="16" t="s">
        <v>30</v>
      </c>
      <c r="C18" s="14">
        <f t="array" aca="1" ref="C18" ca="1">SUM(LARGE(E18:P18,{1,2,3,4,5,6}))</f>
        <v>52</v>
      </c>
      <c r="D18" s="14">
        <f t="shared" ca="1" si="1"/>
        <v>1</v>
      </c>
      <c r="E18" s="14">
        <f ca="1">SUMPRODUCT((Input!$L$3:$L$1000=E$2)*(Input!$O$3:$O$1000=$B18)*(Input!$AG$3:$AG$1000))</f>
        <v>0</v>
      </c>
      <c r="F18" s="14">
        <f ca="1">SUMPRODUCT((Input!$L$3:$L$1000=F$2)*(Input!$O$3:$O$1000=$B18)*(Input!$AG$3:$AG$1000))</f>
        <v>0</v>
      </c>
      <c r="G18" s="14">
        <f ca="1">SUMPRODUCT((Input!$L$3:$L$1000=G$2)*(Input!$O$3:$O$1000=$B18)*(Input!$AG$3:$AG$1000))</f>
        <v>52</v>
      </c>
      <c r="H18" s="14">
        <f ca="1">SUMPRODUCT((Input!$L$3:$L$1000=H$2)*(Input!$O$3:$O$1000=$B18)*(Input!$AG$3:$AG$1000))</f>
        <v>0</v>
      </c>
      <c r="I18" s="14">
        <f ca="1">SUMPRODUCT((Input!$L$3:$L$1000=I$2)*(Input!$O$3:$O$1000=$B18)*(Input!$AG$3:$AG$1000))</f>
        <v>0</v>
      </c>
      <c r="J18" s="14">
        <f ca="1">SUMPRODUCT((Input!$L$3:$L$1000=J$2)*(Input!$O$3:$O$1000=$B18)*(Input!$AG$3:$AG$1000))</f>
        <v>0</v>
      </c>
      <c r="K18" s="14">
        <f ca="1">SUMPRODUCT((Input!$L$3:$L$1000=K$2)*(Input!$O$3:$O$1000=$B18)*(Input!$AG$3:$AG$1000))</f>
        <v>0</v>
      </c>
      <c r="L18" s="14">
        <f ca="1">SUMPRODUCT((Input!$L$3:$L$1000=L$2)*(Input!$O$3:$O$1000=$B18)*(Input!$AG$3:$AG$1000))</f>
        <v>0</v>
      </c>
      <c r="M18" s="14">
        <f ca="1">SUMPRODUCT((Input!$L$3:$L$1000=M$2)*(Input!$O$3:$O$1000=$B18)*(Input!$AG$3:$AG$1000))</f>
        <v>0</v>
      </c>
      <c r="N18" s="14">
        <f ca="1">SUMPRODUCT((Input!$L$3:$L$1000=N$2)*(Input!$O$3:$O$1000=$B18)*(Input!$AG$3:$AG$1000))</f>
        <v>0</v>
      </c>
      <c r="O18" s="14">
        <f ca="1">SUMPRODUCT((Input!$L$3:$L$1000=O$2)*(Input!$O$3:$O$1000=$B18)*(Input!$AG$3:$AG$1000))</f>
        <v>0</v>
      </c>
      <c r="P18" s="14">
        <f ca="1">SUMPRODUCT((Input!$L$3:$L$1000=P$2)*(Input!$O$3:$O$1000=$B18)*(Input!$AG$3:$AG$1000))</f>
        <v>0</v>
      </c>
    </row>
    <row r="19" spans="1:16" x14ac:dyDescent="0.2">
      <c r="A19" s="12">
        <f t="shared" ca="1" si="0"/>
        <v>16</v>
      </c>
      <c r="B19" s="13" t="s">
        <v>13</v>
      </c>
      <c r="C19" s="14">
        <f t="array" aca="1" ref="C19" ca="1">SUM(LARGE(E19:P19,{1,2,3,4,5,6}))</f>
        <v>51</v>
      </c>
      <c r="D19" s="14">
        <f t="shared" ca="1" si="1"/>
        <v>1</v>
      </c>
      <c r="E19" s="14">
        <f ca="1">SUMPRODUCT((Input!$L$3:$L$1000=E$2)*(Input!$O$3:$O$1000=$B19)*(Input!$AG$3:$AG$1000))</f>
        <v>0</v>
      </c>
      <c r="F19" s="14">
        <f ca="1">SUMPRODUCT((Input!$L$3:$L$1000=F$2)*(Input!$O$3:$O$1000=$B19)*(Input!$AG$3:$AG$1000))</f>
        <v>0</v>
      </c>
      <c r="G19" s="14">
        <f ca="1">SUMPRODUCT((Input!$L$3:$L$1000=G$2)*(Input!$O$3:$O$1000=$B19)*(Input!$AG$3:$AG$1000))</f>
        <v>51</v>
      </c>
      <c r="H19" s="14">
        <f ca="1">SUMPRODUCT((Input!$L$3:$L$1000=H$2)*(Input!$O$3:$O$1000=$B19)*(Input!$AG$3:$AG$1000))</f>
        <v>0</v>
      </c>
      <c r="I19" s="14">
        <f ca="1">SUMPRODUCT((Input!$L$3:$L$1000=I$2)*(Input!$O$3:$O$1000=$B19)*(Input!$AG$3:$AG$1000))</f>
        <v>0</v>
      </c>
      <c r="J19" s="14">
        <f ca="1">SUMPRODUCT((Input!$L$3:$L$1000=J$2)*(Input!$O$3:$O$1000=$B19)*(Input!$AG$3:$AG$1000))</f>
        <v>0</v>
      </c>
      <c r="K19" s="14">
        <f ca="1">SUMPRODUCT((Input!$L$3:$L$1000=K$2)*(Input!$O$3:$O$1000=$B19)*(Input!$AG$3:$AG$1000))</f>
        <v>0</v>
      </c>
      <c r="L19" s="14">
        <f ca="1">SUMPRODUCT((Input!$L$3:$L$1000=L$2)*(Input!$O$3:$O$1000=$B19)*(Input!$AG$3:$AG$1000))</f>
        <v>0</v>
      </c>
      <c r="M19" s="14">
        <f ca="1">SUMPRODUCT((Input!$L$3:$L$1000=M$2)*(Input!$O$3:$O$1000=$B19)*(Input!$AG$3:$AG$1000))</f>
        <v>0</v>
      </c>
      <c r="N19" s="14">
        <f ca="1">SUMPRODUCT((Input!$L$3:$L$1000=N$2)*(Input!$O$3:$O$1000=$B19)*(Input!$AG$3:$AG$1000))</f>
        <v>0</v>
      </c>
      <c r="O19" s="14">
        <f ca="1">SUMPRODUCT((Input!$L$3:$L$1000=O$2)*(Input!$O$3:$O$1000=$B19)*(Input!$AG$3:$AG$1000))</f>
        <v>0</v>
      </c>
      <c r="P19" s="14">
        <f ca="1">SUMPRODUCT((Input!$L$3:$L$1000=P$2)*(Input!$O$3:$O$1000=$B19)*(Input!$AG$3:$AG$1000))</f>
        <v>0</v>
      </c>
    </row>
    <row r="20" spans="1:16" x14ac:dyDescent="0.2">
      <c r="A20" s="12">
        <f t="shared" ca="1" si="0"/>
        <v>17</v>
      </c>
      <c r="B20" s="13" t="s">
        <v>31</v>
      </c>
      <c r="C20" s="14">
        <f t="array" aca="1" ref="C20" ca="1">SUM(LARGE(E20:P20,{1,2,3,4,5,6}))</f>
        <v>50</v>
      </c>
      <c r="D20" s="14">
        <f t="shared" ca="1" si="1"/>
        <v>1</v>
      </c>
      <c r="E20" s="14">
        <f ca="1">SUMPRODUCT((Input!$L$3:$L$1000=E$2)*(Input!$O$3:$O$1000=$B20)*(Input!$AG$3:$AG$1000))</f>
        <v>0</v>
      </c>
      <c r="F20" s="14">
        <f ca="1">SUMPRODUCT((Input!$L$3:$L$1000=F$2)*(Input!$O$3:$O$1000=$B20)*(Input!$AG$3:$AG$1000))</f>
        <v>0</v>
      </c>
      <c r="G20" s="14">
        <f ca="1">SUMPRODUCT((Input!$L$3:$L$1000=G$2)*(Input!$O$3:$O$1000=$B20)*(Input!$AG$3:$AG$1000))</f>
        <v>50</v>
      </c>
      <c r="H20" s="14">
        <f ca="1">SUMPRODUCT((Input!$L$3:$L$1000=H$2)*(Input!$O$3:$O$1000=$B20)*(Input!$AG$3:$AG$1000))</f>
        <v>0</v>
      </c>
      <c r="I20" s="14">
        <f ca="1">SUMPRODUCT((Input!$L$3:$L$1000=I$2)*(Input!$O$3:$O$1000=$B20)*(Input!$AG$3:$AG$1000))</f>
        <v>0</v>
      </c>
      <c r="J20" s="14">
        <f ca="1">SUMPRODUCT((Input!$L$3:$L$1000=J$2)*(Input!$O$3:$O$1000=$B20)*(Input!$AG$3:$AG$1000))</f>
        <v>0</v>
      </c>
      <c r="K20" s="14">
        <f ca="1">SUMPRODUCT((Input!$L$3:$L$1000=K$2)*(Input!$O$3:$O$1000=$B20)*(Input!$AG$3:$AG$1000))</f>
        <v>0</v>
      </c>
      <c r="L20" s="14">
        <f ca="1">SUMPRODUCT((Input!$L$3:$L$1000=L$2)*(Input!$O$3:$O$1000=$B20)*(Input!$AG$3:$AG$1000))</f>
        <v>0</v>
      </c>
      <c r="M20" s="14">
        <f ca="1">SUMPRODUCT((Input!$L$3:$L$1000=M$2)*(Input!$O$3:$O$1000=$B20)*(Input!$AG$3:$AG$1000))</f>
        <v>0</v>
      </c>
      <c r="N20" s="14">
        <f ca="1">SUMPRODUCT((Input!$L$3:$L$1000=N$2)*(Input!$O$3:$O$1000=$B20)*(Input!$AG$3:$AG$1000))</f>
        <v>0</v>
      </c>
      <c r="O20" s="14">
        <f ca="1">SUMPRODUCT((Input!$L$3:$L$1000=O$2)*(Input!$O$3:$O$1000=$B20)*(Input!$AG$3:$AG$1000))</f>
        <v>0</v>
      </c>
      <c r="P20" s="14">
        <f ca="1">SUMPRODUCT((Input!$L$3:$L$1000=P$2)*(Input!$O$3:$O$1000=$B20)*(Input!$AG$3:$AG$1000))</f>
        <v>0</v>
      </c>
    </row>
    <row r="21" spans="1:16" x14ac:dyDescent="0.2">
      <c r="A21" s="12">
        <f t="shared" ca="1" si="0"/>
        <v>18</v>
      </c>
      <c r="B21" s="13" t="s">
        <v>32</v>
      </c>
      <c r="C21" s="14">
        <f t="array" aca="1" ref="C21" ca="1">SUM(LARGE(E21:P21,{1,2,3,4,5,6}))</f>
        <v>47</v>
      </c>
      <c r="D21" s="14">
        <f t="shared" ca="1" si="1"/>
        <v>1</v>
      </c>
      <c r="E21" s="14">
        <f ca="1">SUMPRODUCT((Input!$L$3:$L$1000=E$2)*(Input!$O$3:$O$1000=$B21)*(Input!$AG$3:$AG$1000))</f>
        <v>0</v>
      </c>
      <c r="F21" s="14">
        <f ca="1">SUMPRODUCT((Input!$L$3:$L$1000=F$2)*(Input!$O$3:$O$1000=$B21)*(Input!$AG$3:$AG$1000))</f>
        <v>0</v>
      </c>
      <c r="G21" s="14">
        <f ca="1">SUMPRODUCT((Input!$L$3:$L$1000=G$2)*(Input!$O$3:$O$1000=$B21)*(Input!$AG$3:$AG$1000))</f>
        <v>47</v>
      </c>
      <c r="H21" s="14">
        <f ca="1">SUMPRODUCT((Input!$L$3:$L$1000=H$2)*(Input!$O$3:$O$1000=$B21)*(Input!$AG$3:$AG$1000))</f>
        <v>0</v>
      </c>
      <c r="I21" s="14">
        <f ca="1">SUMPRODUCT((Input!$L$3:$L$1000=I$2)*(Input!$O$3:$O$1000=$B21)*(Input!$AG$3:$AG$1000))</f>
        <v>0</v>
      </c>
      <c r="J21" s="14">
        <f ca="1">SUMPRODUCT((Input!$L$3:$L$1000=J$2)*(Input!$O$3:$O$1000=$B21)*(Input!$AG$3:$AG$1000))</f>
        <v>0</v>
      </c>
      <c r="K21" s="14">
        <f ca="1">SUMPRODUCT((Input!$L$3:$L$1000=K$2)*(Input!$O$3:$O$1000=$B21)*(Input!$AG$3:$AG$1000))</f>
        <v>0</v>
      </c>
      <c r="L21" s="14">
        <f ca="1">SUMPRODUCT((Input!$L$3:$L$1000=L$2)*(Input!$O$3:$O$1000=$B21)*(Input!$AG$3:$AG$1000))</f>
        <v>0</v>
      </c>
      <c r="M21" s="14">
        <f ca="1">SUMPRODUCT((Input!$L$3:$L$1000=M$2)*(Input!$O$3:$O$1000=$B21)*(Input!$AG$3:$AG$1000))</f>
        <v>0</v>
      </c>
      <c r="N21" s="14">
        <f ca="1">SUMPRODUCT((Input!$L$3:$L$1000=N$2)*(Input!$O$3:$O$1000=$B21)*(Input!$AG$3:$AG$1000))</f>
        <v>0</v>
      </c>
      <c r="O21" s="14">
        <f ca="1">SUMPRODUCT((Input!$L$3:$L$1000=O$2)*(Input!$O$3:$O$1000=$B21)*(Input!$AG$3:$AG$1000))</f>
        <v>0</v>
      </c>
      <c r="P21" s="14">
        <f ca="1">SUMPRODUCT((Input!$L$3:$L$1000=P$2)*(Input!$O$3:$O$1000=$B21)*(Input!$AG$3:$AG$1000))</f>
        <v>0</v>
      </c>
    </row>
    <row r="22" spans="1:16" x14ac:dyDescent="0.2">
      <c r="A22" s="12"/>
      <c r="B22" s="1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x14ac:dyDescent="0.2">
      <c r="A23" s="12"/>
      <c r="B23" s="13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x14ac:dyDescent="0.2">
      <c r="A24" s="12"/>
      <c r="B24" s="13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x14ac:dyDescent="0.2">
      <c r="A25" s="12"/>
      <c r="B25" s="13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x14ac:dyDescent="0.2">
      <c r="A26" s="12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x14ac:dyDescent="0.2">
      <c r="A27" s="12"/>
      <c r="B27" s="13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x14ac:dyDescent="0.2">
      <c r="A28" s="12"/>
      <c r="B28" s="13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x14ac:dyDescent="0.2">
      <c r="A29" s="12"/>
      <c r="B29" s="13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</row>
  </sheetData>
  <conditionalFormatting sqref="C4:P29">
    <cfRule type="cellIs" dxfId="18" priority="1" operator="equal">
      <formula>0</formula>
    </cfRule>
  </conditionalFormatting>
  <conditionalFormatting sqref="E4:P29">
    <cfRule type="expression" dxfId="17" priority="2">
      <formula>AND($D4&gt;$C$1,RANK(VALUE(E4),$E4:$O4)+COUNTIF($E4:E4,E4)-1&lt;=$C$1)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L33"/>
  <sheetViews>
    <sheetView workbookViewId="0">
      <pane ySplit="3" topLeftCell="A4" activePane="bottomLeft" state="frozen"/>
      <selection activeCell="B5" sqref="B5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6" width="3.5703125" customWidth="1"/>
    <col min="7" max="7" width="4" customWidth="1"/>
    <col min="8" max="8" width="10.42578125" customWidth="1"/>
    <col min="9" max="9" width="11.42578125" customWidth="1"/>
    <col min="10" max="10" width="10.140625" customWidth="1"/>
    <col min="11" max="11" width="35.140625" customWidth="1"/>
    <col min="12" max="12" width="0.42578125" customWidth="1"/>
  </cols>
  <sheetData>
    <row r="1" spans="1:12" ht="18" x14ac:dyDescent="0.25">
      <c r="A1" s="45">
        <v>45641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7</v>
      </c>
    </row>
    <row r="2" spans="1:12" ht="18" x14ac:dyDescent="0.25">
      <c r="A2" s="47" t="s">
        <v>153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1" t="s">
        <v>154</v>
      </c>
      <c r="F3" s="31"/>
      <c r="G3" s="32"/>
      <c r="H3" s="31" t="s">
        <v>155</v>
      </c>
      <c r="I3" s="31" t="s">
        <v>151</v>
      </c>
      <c r="J3" s="31" t="s">
        <v>152</v>
      </c>
      <c r="K3" s="31" t="s">
        <v>57</v>
      </c>
      <c r="L3" s="33"/>
    </row>
    <row r="4" spans="1:12" ht="25.5" x14ac:dyDescent="0.2">
      <c r="A4" s="14">
        <v>1</v>
      </c>
      <c r="B4" s="14" t="str">
        <f t="array" aca="1" ref="B4" ca="1">IFERROR(INDEX(Input!$O:$O,MATCH(CONCATENATE($A$1,"_Sunday League_",$L$1,"_",$A4),Input!$I:$I,0)),"")</f>
        <v/>
      </c>
      <c r="C4" s="14" t="str">
        <f t="shared" ref="C4:C14" ca="1" si="0">IF(B4="","","SW")</f>
        <v/>
      </c>
      <c r="D4" s="14" t="str">
        <f t="array" aca="1" ref="D4" ca="1">IFERROR(INDEX(Input!$P:$P,MATCH(CONCATENATE($A$1,"_Sunday League_",$L$1,"_",$A4),Input!$I:$I,0)),"")</f>
        <v/>
      </c>
      <c r="E4" s="34" t="str">
        <f t="array" aca="1" ref="E4" ca="1">IFERROR(INDEX(Input!$Q:$Q,MATCH(CONCATENATE($A$1,"_Sunday League_",$L$1,"_",$A4),Input!$I:$I,0)),"")</f>
        <v/>
      </c>
      <c r="F4" s="14"/>
      <c r="G4" s="34"/>
      <c r="H4" s="34" t="e">
        <f t="shared" ref="H4:H14" ca="1" si="1">E4-I4</f>
        <v>#VALUE!</v>
      </c>
      <c r="I4" s="34">
        <v>1.3101851851851852E-2</v>
      </c>
      <c r="J4" s="14">
        <f t="shared" ref="J4:J14" si="2">RANK(I4,$I$4:$I$14,1)</f>
        <v>1</v>
      </c>
      <c r="K4" s="35" t="s">
        <v>156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>
        <v>2</v>
      </c>
      <c r="B5" s="14" t="str">
        <f t="array" aca="1" ref="B5" ca="1">IFERROR(INDEX(Input!$O:$O,MATCH(CONCATENATE($A$1,"_Sunday League_",$L$1,"_",$A5),Input!$I:$I,0)),"")</f>
        <v/>
      </c>
      <c r="C5" s="14" t="str">
        <f t="shared" ca="1" si="0"/>
        <v/>
      </c>
      <c r="D5" s="14" t="str">
        <f t="array" aca="1" ref="D5" ca="1">IFERROR(INDEX(Input!$P:$P,MATCH(CONCATENATE($A$1,"_Sunday League_",$L$1,"_",$A5),Input!$I:$I,0)),"")</f>
        <v/>
      </c>
      <c r="E5" s="34" t="str">
        <f t="array" aca="1" ref="E5" ca="1">IFERROR(INDEX(Input!$Q:$Q,MATCH(CONCATENATE($A$1,"_Sunday League_",$L$1,"_",$A5),Input!$I:$I,0)),"")</f>
        <v/>
      </c>
      <c r="F5" s="14"/>
      <c r="G5" s="34"/>
      <c r="H5" s="34" t="e">
        <f t="shared" ca="1" si="1"/>
        <v>#VALUE!</v>
      </c>
      <c r="I5" s="34">
        <v>1.4548611111111111E-2</v>
      </c>
      <c r="J5" s="14">
        <f t="shared" si="2"/>
        <v>3</v>
      </c>
      <c r="K5" s="35" t="s">
        <v>157</v>
      </c>
    </row>
    <row r="6" spans="1:12" ht="12.75" x14ac:dyDescent="0.2">
      <c r="A6" s="14">
        <v>3</v>
      </c>
      <c r="B6" s="14" t="str">
        <f t="array" aca="1" ref="B6" ca="1">IFERROR(INDEX(Input!$O:$O,MATCH(CONCATENATE($A$1,"_Sunday League_",$L$1,"_",$A6),Input!$I:$I,0)),"")</f>
        <v/>
      </c>
      <c r="C6" s="14" t="str">
        <f t="shared" ca="1" si="0"/>
        <v/>
      </c>
      <c r="D6" s="14" t="str">
        <f t="array" aca="1" ref="D6" ca="1">IFERROR(INDEX(Input!$P:$P,MATCH(CONCATENATE($A$1,"_Sunday League_",$L$1,"_",$A6),Input!$I:$I,0)),"")</f>
        <v/>
      </c>
      <c r="E6" s="34" t="str">
        <f t="array" aca="1" ref="E6" ca="1">IFERROR(INDEX(Input!$Q:$Q,MATCH(CONCATENATE($A$1,"_Sunday League_",$L$1,"_",$A6),Input!$I:$I,0)),"")</f>
        <v/>
      </c>
      <c r="F6" s="14"/>
      <c r="G6" s="34"/>
      <c r="H6" s="34" t="e">
        <f t="shared" ca="1" si="1"/>
        <v>#VALUE!</v>
      </c>
      <c r="I6" s="34">
        <v>1.4456018518518519E-2</v>
      </c>
      <c r="J6" s="14">
        <f t="shared" si="2"/>
        <v>2</v>
      </c>
      <c r="K6" s="35"/>
    </row>
    <row r="7" spans="1:12" ht="12.75" x14ac:dyDescent="0.2">
      <c r="A7" s="14">
        <v>4</v>
      </c>
      <c r="B7" s="14" t="str">
        <f t="array" aca="1" ref="B7" ca="1">IFERROR(INDEX(Input!$O:$O,MATCH(CONCATENATE($A$1,"_Sunday League_",$L$1,"_",$A7),Input!$I:$I,0)),"")</f>
        <v/>
      </c>
      <c r="C7" s="14" t="str">
        <f t="shared" ca="1" si="0"/>
        <v/>
      </c>
      <c r="D7" s="14" t="str">
        <f t="array" aca="1" ref="D7" ca="1">IFERROR(INDEX(Input!$P:$P,MATCH(CONCATENATE($A$1,"_Sunday League_",$L$1,"_",$A7),Input!$I:$I,0)),"")</f>
        <v/>
      </c>
      <c r="E7" s="34" t="str">
        <f t="array" aca="1" ref="E7" ca="1">IFERROR(INDEX(Input!$Q:$Q,MATCH(CONCATENATE($A$1,"_Sunday League_",$L$1,"_",$A7),Input!$I:$I,0)),"")</f>
        <v/>
      </c>
      <c r="F7" s="14"/>
      <c r="G7" s="34"/>
      <c r="H7" s="34" t="e">
        <f t="shared" ca="1" si="1"/>
        <v>#VALUE!</v>
      </c>
      <c r="I7" s="34">
        <v>1.5439814814814814E-2</v>
      </c>
      <c r="J7" s="14">
        <f t="shared" si="2"/>
        <v>4</v>
      </c>
      <c r="K7" s="35"/>
    </row>
    <row r="8" spans="1:12" ht="12.75" x14ac:dyDescent="0.2">
      <c r="A8" s="14">
        <v>5</v>
      </c>
      <c r="B8" s="14" t="str">
        <f t="array" aca="1" ref="B8" ca="1">IFERROR(INDEX(Input!$O:$O,MATCH(CONCATENATE($A$1,"_Sunday League_",$L$1,"_",$A8),Input!$I:$I,0)),"")</f>
        <v/>
      </c>
      <c r="C8" s="14" t="str">
        <f t="shared" ca="1" si="0"/>
        <v/>
      </c>
      <c r="D8" s="14" t="str">
        <f t="array" aca="1" ref="D8" ca="1">IFERROR(INDEX(Input!$P:$P,MATCH(CONCATENATE($A$1,"_Sunday League_",$L$1,"_",$A8),Input!$I:$I,0)),"")</f>
        <v/>
      </c>
      <c r="E8" s="34" t="str">
        <f t="array" aca="1" ref="E8" ca="1">IFERROR(INDEX(Input!$Q:$Q,MATCH(CONCATENATE($A$1,"_Sunday League_",$L$1,"_",$A8),Input!$I:$I,0)),"")</f>
        <v/>
      </c>
      <c r="F8" s="14"/>
      <c r="G8" s="34"/>
      <c r="H8" s="34" t="e">
        <f t="shared" ca="1" si="1"/>
        <v>#VALUE!</v>
      </c>
      <c r="I8" s="34">
        <v>1.5601851851851851E-2</v>
      </c>
      <c r="J8" s="14">
        <f t="shared" si="2"/>
        <v>5</v>
      </c>
      <c r="K8" s="35" t="s">
        <v>67</v>
      </c>
    </row>
    <row r="9" spans="1:12" ht="12.75" x14ac:dyDescent="0.2">
      <c r="A9" s="14">
        <v>6</v>
      </c>
      <c r="B9" s="14" t="str">
        <f t="array" aca="1" ref="B9" ca="1">IFERROR(INDEX(Input!$O:$O,MATCH(CONCATENATE($A$1,"_Sunday League_",$L$1,"_",$A9),Input!$I:$I,0)),"")</f>
        <v/>
      </c>
      <c r="C9" s="14" t="str">
        <f t="shared" ca="1" si="0"/>
        <v/>
      </c>
      <c r="D9" s="14" t="str">
        <f t="array" aca="1" ref="D9" ca="1">IFERROR(INDEX(Input!$P:$P,MATCH(CONCATENATE($A$1,"_Sunday League_",$L$1,"_",$A9),Input!$I:$I,0)),"")</f>
        <v/>
      </c>
      <c r="E9" s="34" t="str">
        <f t="array" aca="1" ref="E9" ca="1">IFERROR(INDEX(Input!$Q:$Q,MATCH(CONCATENATE($A$1,"_Sunday League_",$L$1,"_",$A9),Input!$I:$I,0)),"")</f>
        <v/>
      </c>
      <c r="F9" s="14"/>
      <c r="G9" s="34"/>
      <c r="H9" s="34" t="e">
        <f t="shared" ca="1" si="1"/>
        <v>#VALUE!</v>
      </c>
      <c r="I9" s="34">
        <v>1.7858796296296296E-2</v>
      </c>
      <c r="J9" s="14">
        <f t="shared" si="2"/>
        <v>8</v>
      </c>
      <c r="K9" s="35"/>
    </row>
    <row r="10" spans="1:12" ht="12.75" x14ac:dyDescent="0.2">
      <c r="A10" s="14">
        <v>7</v>
      </c>
      <c r="B10" s="14" t="str">
        <f t="array" aca="1" ref="B10" ca="1">IFERROR(INDEX(Input!$O:$O,MATCH(CONCATENATE($A$1,"_Sunday League_",$L$1,"_",$A10),Input!$I:$I,0)),"")</f>
        <v/>
      </c>
      <c r="C10" s="14" t="str">
        <f t="shared" ca="1" si="0"/>
        <v/>
      </c>
      <c r="D10" s="14" t="str">
        <f t="array" aca="1" ref="D10" ca="1">IFERROR(INDEX(Input!$P:$P,MATCH(CONCATENATE($A$1,"_Sunday League_",$L$1,"_",$A10),Input!$I:$I,0)),"")</f>
        <v/>
      </c>
      <c r="E10" s="34" t="str">
        <f t="array" aca="1" ref="E10" ca="1">IFERROR(INDEX(Input!$Q:$Q,MATCH(CONCATENATE($A$1,"_Sunday League_",$L$1,"_",$A10),Input!$I:$I,0)),"")</f>
        <v/>
      </c>
      <c r="F10" s="14"/>
      <c r="G10" s="34"/>
      <c r="H10" s="34" t="e">
        <f t="shared" ca="1" si="1"/>
        <v>#VALUE!</v>
      </c>
      <c r="I10" s="34">
        <v>1.7546296296296296E-2</v>
      </c>
      <c r="J10" s="14">
        <f t="shared" si="2"/>
        <v>6</v>
      </c>
      <c r="K10" s="35"/>
    </row>
    <row r="11" spans="1:12" ht="12.75" x14ac:dyDescent="0.2">
      <c r="A11" s="14">
        <v>8</v>
      </c>
      <c r="B11" s="14" t="str">
        <f t="array" aca="1" ref="B11" ca="1">IFERROR(INDEX(Input!$O:$O,MATCH(CONCATENATE($A$1,"_Sunday League_",$L$1,"_",$A11),Input!$I:$I,0)),"")</f>
        <v/>
      </c>
      <c r="C11" s="14" t="str">
        <f t="shared" ca="1" si="0"/>
        <v/>
      </c>
      <c r="D11" s="14" t="str">
        <f t="array" aca="1" ref="D11" ca="1">IFERROR(INDEX(Input!$P:$P,MATCH(CONCATENATE($A$1,"_Sunday League_",$L$1,"_",$A11),Input!$I:$I,0)),"")</f>
        <v/>
      </c>
      <c r="E11" s="34" t="str">
        <f t="array" aca="1" ref="E11" ca="1">IFERROR(INDEX(Input!$Q:$Q,MATCH(CONCATENATE($A$1,"_Sunday League_",$L$1,"_",$A11),Input!$I:$I,0)),"")</f>
        <v/>
      </c>
      <c r="F11" s="14"/>
      <c r="G11" s="34"/>
      <c r="H11" s="34" t="e">
        <f t="shared" ca="1" si="1"/>
        <v>#VALUE!</v>
      </c>
      <c r="I11" s="34">
        <v>1.758101851851852E-2</v>
      </c>
      <c r="J11" s="14">
        <f t="shared" si="2"/>
        <v>7</v>
      </c>
      <c r="K11" s="35" t="s">
        <v>158</v>
      </c>
    </row>
    <row r="12" spans="1:12" ht="12.75" x14ac:dyDescent="0.2">
      <c r="A12" s="14">
        <v>9</v>
      </c>
      <c r="B12" s="14" t="str">
        <f t="array" aca="1" ref="B12" ca="1">IFERROR(INDEX(Input!$O:$O,MATCH(CONCATENATE($A$1,"_Sunday League_",$L$1,"_",$A12),Input!$I:$I,0)),"")</f>
        <v/>
      </c>
      <c r="C12" s="14" t="str">
        <f t="shared" ca="1" si="0"/>
        <v/>
      </c>
      <c r="D12" s="14" t="str">
        <f t="array" aca="1" ref="D12" ca="1">IFERROR(INDEX(Input!$P:$P,MATCH(CONCATENATE($A$1,"_Sunday League_",$L$1,"_",$A12),Input!$I:$I,0)),"")</f>
        <v/>
      </c>
      <c r="E12" s="34" t="str">
        <f t="array" aca="1" ref="E12" ca="1">IFERROR(INDEX(Input!$Q:$Q,MATCH(CONCATENATE($A$1,"_Sunday League_",$L$1,"_",$A12),Input!$I:$I,0)),"")</f>
        <v/>
      </c>
      <c r="F12" s="14"/>
      <c r="G12" s="34"/>
      <c r="H12" s="34" t="e">
        <f t="shared" ca="1" si="1"/>
        <v>#VALUE!</v>
      </c>
      <c r="I12" s="34">
        <v>1.9583333333333335E-2</v>
      </c>
      <c r="J12" s="14">
        <f t="shared" si="2"/>
        <v>9</v>
      </c>
      <c r="K12" s="35"/>
    </row>
    <row r="13" spans="1:12" ht="12.75" x14ac:dyDescent="0.2">
      <c r="A13" s="14">
        <v>10</v>
      </c>
      <c r="B13" s="14" t="str">
        <f t="array" aca="1" ref="B13" ca="1">IFERROR(INDEX(Input!$O:$O,MATCH(CONCATENATE($A$1,"_Sunday League_",$L$1,"_",$A13),Input!$I:$I,0)),"")</f>
        <v/>
      </c>
      <c r="C13" s="14" t="str">
        <f t="shared" ca="1" si="0"/>
        <v/>
      </c>
      <c r="D13" s="14" t="str">
        <f t="array" aca="1" ref="D13" ca="1">IFERROR(INDEX(Input!$P:$P,MATCH(CONCATENATE($A$1,"_Sunday League_",$L$1,"_",$A13),Input!$I:$I,0)),"")</f>
        <v/>
      </c>
      <c r="E13" s="34" t="str">
        <f t="array" aca="1" ref="E13" ca="1">IFERROR(INDEX(Input!$Q:$Q,MATCH(CONCATENATE($A$1,"_Sunday League_",$L$1,"_",$A13),Input!$I:$I,0)),"")</f>
        <v/>
      </c>
      <c r="F13" s="14"/>
      <c r="G13" s="34"/>
      <c r="H13" s="34" t="e">
        <f t="shared" ca="1" si="1"/>
        <v>#VALUE!</v>
      </c>
      <c r="I13" s="34">
        <v>2.1770833333333333E-2</v>
      </c>
      <c r="J13" s="14">
        <f t="shared" si="2"/>
        <v>10</v>
      </c>
      <c r="K13" s="35"/>
    </row>
    <row r="14" spans="1:12" ht="12.75" x14ac:dyDescent="0.2">
      <c r="A14" s="14">
        <v>11</v>
      </c>
      <c r="B14" s="14" t="str">
        <f t="array" aca="1" ref="B14" ca="1">IFERROR(INDEX(Input!$O:$O,MATCH(CONCATENATE($A$1,"_Sunday League_",$L$1,"_",$A14),Input!$I:$I,0)),"")</f>
        <v/>
      </c>
      <c r="C14" s="14" t="str">
        <f t="shared" ca="1" si="0"/>
        <v/>
      </c>
      <c r="D14" s="14" t="str">
        <f t="array" aca="1" ref="D14" ca="1">IFERROR(INDEX(Input!$P:$P,MATCH(CONCATENATE($A$1,"_Sunday League_",$L$1,"_",$A14),Input!$I:$I,0)),"")</f>
        <v/>
      </c>
      <c r="E14" s="34" t="str">
        <f t="array" aca="1" ref="E14" ca="1">IFERROR(INDEX(Input!$Q:$Q,MATCH(CONCATENATE($A$1,"_Sunday League_",$L$1,"_",$A14),Input!$I:$I,0)),"")</f>
        <v/>
      </c>
      <c r="F14" s="14"/>
      <c r="G14" s="34"/>
      <c r="H14" s="34" t="e">
        <f t="shared" ca="1" si="1"/>
        <v>#VALUE!</v>
      </c>
      <c r="I14" s="34">
        <v>2.1909722222222223E-2</v>
      </c>
      <c r="J14" s="14">
        <f t="shared" si="2"/>
        <v>11</v>
      </c>
      <c r="K14" s="35" t="s">
        <v>159</v>
      </c>
    </row>
    <row r="15" spans="1:12" ht="12.75" x14ac:dyDescent="0.2">
      <c r="A15" s="14"/>
      <c r="B15" s="14"/>
      <c r="C15" s="14"/>
      <c r="D15" s="14"/>
      <c r="E15" s="34"/>
      <c r="F15" s="34"/>
      <c r="G15" s="34"/>
      <c r="H15" s="14"/>
      <c r="I15" s="34"/>
      <c r="J15" s="14"/>
      <c r="K15" s="35"/>
    </row>
    <row r="16" spans="1:12" ht="12.75" x14ac:dyDescent="0.2">
      <c r="A16" s="14"/>
      <c r="B16" s="14" t="s">
        <v>160</v>
      </c>
      <c r="C16" s="48" t="s">
        <v>161</v>
      </c>
      <c r="D16" s="49"/>
      <c r="E16" s="34">
        <v>1.2939814814814815E-2</v>
      </c>
      <c r="F16" s="34"/>
      <c r="G16" s="34"/>
      <c r="H16" s="34">
        <f t="shared" ref="H16:H27" si="3">E16-I16</f>
        <v>3.4722222222222272E-4</v>
      </c>
      <c r="I16" s="34">
        <v>1.2592592592592593E-2</v>
      </c>
      <c r="J16" s="14"/>
      <c r="K16" s="35" t="s">
        <v>61</v>
      </c>
    </row>
    <row r="17" spans="1:11" ht="12.75" x14ac:dyDescent="0.2">
      <c r="A17" s="14"/>
      <c r="B17" s="14" t="s">
        <v>162</v>
      </c>
      <c r="C17" s="48" t="s">
        <v>163</v>
      </c>
      <c r="D17" s="49"/>
      <c r="E17" s="34">
        <v>1.3923611111111111E-2</v>
      </c>
      <c r="F17" s="34"/>
      <c r="G17" s="34"/>
      <c r="H17" s="34">
        <f t="shared" si="3"/>
        <v>3.4722222222222099E-4</v>
      </c>
      <c r="I17" s="34">
        <v>1.357638888888889E-2</v>
      </c>
      <c r="J17" s="14"/>
      <c r="K17" s="35"/>
    </row>
    <row r="18" spans="1:11" ht="12.75" x14ac:dyDescent="0.2">
      <c r="A18" s="14"/>
      <c r="B18" s="14" t="s">
        <v>92</v>
      </c>
      <c r="C18" s="48" t="s">
        <v>93</v>
      </c>
      <c r="D18" s="49"/>
      <c r="E18" s="34">
        <v>1.3854166666666667E-2</v>
      </c>
      <c r="F18" s="34"/>
      <c r="G18" s="34"/>
      <c r="H18" s="34">
        <f t="shared" si="3"/>
        <v>3.4722222222222272E-4</v>
      </c>
      <c r="I18" s="34">
        <v>1.3506944444444445E-2</v>
      </c>
      <c r="J18" s="14"/>
      <c r="K18" s="35" t="s">
        <v>164</v>
      </c>
    </row>
    <row r="19" spans="1:11" ht="12.75" x14ac:dyDescent="0.2">
      <c r="A19" s="14"/>
      <c r="B19" s="14" t="s">
        <v>165</v>
      </c>
      <c r="C19" s="48" t="s">
        <v>93</v>
      </c>
      <c r="D19" s="49"/>
      <c r="E19" s="34">
        <v>1.4247685185185184E-2</v>
      </c>
      <c r="F19" s="34"/>
      <c r="G19" s="34"/>
      <c r="H19" s="34">
        <f t="shared" si="3"/>
        <v>0</v>
      </c>
      <c r="I19" s="34">
        <v>1.4247685185185184E-2</v>
      </c>
      <c r="J19" s="14"/>
      <c r="K19" s="35"/>
    </row>
    <row r="20" spans="1:11" ht="12.75" x14ac:dyDescent="0.2">
      <c r="A20" s="14"/>
      <c r="B20" s="14" t="s">
        <v>94</v>
      </c>
      <c r="C20" s="48" t="s">
        <v>93</v>
      </c>
      <c r="D20" s="49"/>
      <c r="E20" s="34">
        <v>1.4664351851851852E-2</v>
      </c>
      <c r="F20" s="34"/>
      <c r="G20" s="34"/>
      <c r="H20" s="34">
        <f t="shared" si="3"/>
        <v>1.7361111111111049E-4</v>
      </c>
      <c r="I20" s="34">
        <v>1.4490740740740742E-2</v>
      </c>
      <c r="J20" s="14"/>
      <c r="K20" s="35"/>
    </row>
    <row r="21" spans="1:11" ht="12.75" x14ac:dyDescent="0.2">
      <c r="A21" s="14"/>
      <c r="B21" s="14" t="s">
        <v>166</v>
      </c>
      <c r="C21" s="48" t="s">
        <v>93</v>
      </c>
      <c r="D21" s="49"/>
      <c r="E21" s="34">
        <v>1.5439814814814814E-2</v>
      </c>
      <c r="F21" s="34"/>
      <c r="G21" s="34"/>
      <c r="H21" s="34">
        <f t="shared" si="3"/>
        <v>3.4722222222222099E-4</v>
      </c>
      <c r="I21" s="34">
        <v>1.5092592592592593E-2</v>
      </c>
      <c r="J21" s="14"/>
      <c r="K21" s="35"/>
    </row>
    <row r="22" spans="1:11" ht="12.75" x14ac:dyDescent="0.2">
      <c r="A22" s="14"/>
      <c r="B22" s="14" t="s">
        <v>98</v>
      </c>
      <c r="C22" s="48" t="s">
        <v>93</v>
      </c>
      <c r="D22" s="49"/>
      <c r="E22" s="34">
        <v>1.5486111111111112E-2</v>
      </c>
      <c r="F22" s="34"/>
      <c r="G22" s="34"/>
      <c r="H22" s="34">
        <f t="shared" si="3"/>
        <v>6.9444444444444545E-4</v>
      </c>
      <c r="I22" s="34">
        <v>1.4791666666666667E-2</v>
      </c>
      <c r="J22" s="14"/>
      <c r="K22" s="35"/>
    </row>
    <row r="23" spans="1:11" ht="12.75" x14ac:dyDescent="0.2">
      <c r="A23" s="14"/>
      <c r="B23" s="14" t="s">
        <v>107</v>
      </c>
      <c r="C23" s="48" t="s">
        <v>93</v>
      </c>
      <c r="D23" s="49"/>
      <c r="E23" s="34">
        <v>1.7002314814814814E-2</v>
      </c>
      <c r="F23" s="34"/>
      <c r="G23" s="34"/>
      <c r="H23" s="34">
        <f t="shared" si="3"/>
        <v>3.4722222222222099E-4</v>
      </c>
      <c r="I23" s="34">
        <v>1.6655092592592593E-2</v>
      </c>
      <c r="J23" s="14"/>
      <c r="K23" s="35"/>
    </row>
    <row r="24" spans="1:11" ht="12.75" x14ac:dyDescent="0.2">
      <c r="A24" s="14"/>
      <c r="B24" s="14" t="s">
        <v>167</v>
      </c>
      <c r="C24" s="48" t="s">
        <v>83</v>
      </c>
      <c r="D24" s="49"/>
      <c r="E24" s="34">
        <v>1.6875000000000001E-2</v>
      </c>
      <c r="F24" s="34"/>
      <c r="G24" s="34"/>
      <c r="H24" s="34">
        <f t="shared" si="3"/>
        <v>3.4722222222222446E-4</v>
      </c>
      <c r="I24" s="34">
        <v>1.6527777777777777E-2</v>
      </c>
      <c r="J24" s="14"/>
      <c r="K24" s="35"/>
    </row>
    <row r="25" spans="1:11" ht="12.75" x14ac:dyDescent="0.2">
      <c r="A25" s="14"/>
      <c r="B25" s="14" t="s">
        <v>110</v>
      </c>
      <c r="C25" s="48" t="s">
        <v>93</v>
      </c>
      <c r="D25" s="49"/>
      <c r="E25" s="34">
        <v>1.7905092592592594E-2</v>
      </c>
      <c r="F25" s="34"/>
      <c r="G25" s="34"/>
      <c r="H25" s="34">
        <f t="shared" si="3"/>
        <v>3.4722222222222446E-4</v>
      </c>
      <c r="I25" s="34">
        <v>1.755787037037037E-2</v>
      </c>
      <c r="J25" s="14"/>
      <c r="K25" s="35"/>
    </row>
    <row r="26" spans="1:11" ht="12.75" x14ac:dyDescent="0.2">
      <c r="A26" s="14"/>
      <c r="B26" s="14" t="s">
        <v>168</v>
      </c>
      <c r="C26" s="48" t="s">
        <v>83</v>
      </c>
      <c r="D26" s="49"/>
      <c r="E26" s="34">
        <v>1.8275462962962962E-2</v>
      </c>
      <c r="F26" s="34"/>
      <c r="G26" s="34"/>
      <c r="H26" s="34">
        <f t="shared" si="3"/>
        <v>6.9444444444444198E-4</v>
      </c>
      <c r="I26" s="34">
        <v>1.758101851851852E-2</v>
      </c>
      <c r="J26" s="14"/>
      <c r="K26" s="35"/>
    </row>
    <row r="27" spans="1:11" ht="12.75" x14ac:dyDescent="0.2">
      <c r="A27" s="14"/>
      <c r="B27" s="14" t="s">
        <v>112</v>
      </c>
      <c r="C27" s="48" t="s">
        <v>93</v>
      </c>
      <c r="D27" s="49"/>
      <c r="E27" s="34">
        <v>2.2210648148148149E-2</v>
      </c>
      <c r="F27" s="34"/>
      <c r="G27" s="34"/>
      <c r="H27" s="34">
        <f t="shared" si="3"/>
        <v>0</v>
      </c>
      <c r="I27" s="34">
        <v>2.2210648148148149E-2</v>
      </c>
      <c r="J27" s="14"/>
      <c r="K27" s="35" t="s">
        <v>169</v>
      </c>
    </row>
    <row r="28" spans="1:11" ht="12.75" x14ac:dyDescent="0.2">
      <c r="A28" s="14"/>
      <c r="B28" s="14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4" t="s">
        <v>92</v>
      </c>
      <c r="C29" s="48" t="s">
        <v>93</v>
      </c>
      <c r="D29" s="49"/>
      <c r="E29" s="34">
        <v>1.3854166666666667E-2</v>
      </c>
      <c r="F29" s="34"/>
      <c r="G29" s="34"/>
      <c r="H29" s="34">
        <f>E29-I29</f>
        <v>3.4722222222222272E-4</v>
      </c>
      <c r="I29" s="34">
        <v>1.3506944444444445E-2</v>
      </c>
      <c r="J29" s="14"/>
      <c r="K29" s="35" t="s">
        <v>164</v>
      </c>
    </row>
    <row r="30" spans="1:11" ht="12.75" x14ac:dyDescent="0.2">
      <c r="A30" s="14"/>
      <c r="B30" s="14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4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4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4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15">
    <mergeCell ref="C26:D26"/>
    <mergeCell ref="C27:D27"/>
    <mergeCell ref="C29:D29"/>
    <mergeCell ref="A1:K1"/>
    <mergeCell ref="A2:K2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I33"/>
  <sheetViews>
    <sheetView workbookViewId="0">
      <pane ySplit="3" topLeftCell="A4" activePane="bottomLeft" state="frozen"/>
      <selection activeCell="B5" sqref="B5"/>
      <selection pane="bottomLeft" activeCell="B5" sqref="B5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6" width="3.5703125" customWidth="1"/>
    <col min="7" max="7" width="4" customWidth="1"/>
    <col min="8" max="8" width="35.140625" customWidth="1"/>
    <col min="9" max="9" width="0.42578125" customWidth="1"/>
  </cols>
  <sheetData>
    <row r="1" spans="1:9" ht="18" x14ac:dyDescent="0.25">
      <c r="A1" s="45">
        <v>45830</v>
      </c>
      <c r="B1" s="46"/>
      <c r="C1" s="46"/>
      <c r="D1" s="46"/>
      <c r="E1" s="46"/>
      <c r="F1" s="46"/>
      <c r="G1" s="46"/>
      <c r="H1" s="46"/>
      <c r="I1" s="30">
        <v>7</v>
      </c>
    </row>
    <row r="2" spans="1:9" ht="18" x14ac:dyDescent="0.25">
      <c r="A2" s="47" t="s">
        <v>170</v>
      </c>
      <c r="B2" s="46"/>
      <c r="C2" s="46"/>
      <c r="D2" s="46"/>
      <c r="E2" s="46"/>
      <c r="F2" s="46"/>
      <c r="G2" s="46"/>
      <c r="H2" s="46"/>
    </row>
    <row r="3" spans="1:9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1" t="s">
        <v>154</v>
      </c>
      <c r="F3" s="31"/>
      <c r="G3" s="32"/>
      <c r="H3" s="31" t="s">
        <v>57</v>
      </c>
      <c r="I3" s="33"/>
    </row>
    <row r="4" spans="1:9" ht="12.75" x14ac:dyDescent="0.2">
      <c r="A4" s="14">
        <v>1</v>
      </c>
      <c r="B4" s="14" t="s">
        <v>14</v>
      </c>
      <c r="C4" s="14" t="s">
        <v>114</v>
      </c>
      <c r="D4" s="14" t="s">
        <v>171</v>
      </c>
      <c r="E4" s="34">
        <v>0.16106481481481483</v>
      </c>
      <c r="F4" s="14"/>
      <c r="G4" s="34"/>
      <c r="H4" s="35"/>
      <c r="I4" s="16" t="str">
        <f t="array" ref="I4">IF($D4="*Vet*",INDEX(Input!$X:$X,MATCH(CONCATENATE($A$1,"_Sunday League_",$I$1,"_",B4),Input!$I:$I,0)),"")</f>
        <v/>
      </c>
    </row>
    <row r="5" spans="1:9" ht="12.75" x14ac:dyDescent="0.2">
      <c r="A5" s="14">
        <v>2</v>
      </c>
      <c r="B5" s="14" t="s">
        <v>15</v>
      </c>
      <c r="C5" s="14" t="str">
        <f>IF(B5="","","SW")</f>
        <v>SW</v>
      </c>
      <c r="D5" s="14" t="s">
        <v>172</v>
      </c>
      <c r="E5" s="34">
        <v>0.17231481481481481</v>
      </c>
      <c r="F5" s="14"/>
      <c r="G5" s="34"/>
      <c r="H5" s="35" t="s">
        <v>173</v>
      </c>
    </row>
    <row r="6" spans="1:9" ht="12.75" x14ac:dyDescent="0.2">
      <c r="A6" s="14"/>
      <c r="B6" s="14"/>
      <c r="C6" s="14"/>
      <c r="D6" s="14"/>
      <c r="E6" s="34"/>
      <c r="F6" s="14"/>
      <c r="G6" s="34"/>
      <c r="H6" s="35"/>
    </row>
    <row r="7" spans="1:9" ht="12.75" x14ac:dyDescent="0.2">
      <c r="A7" s="14"/>
      <c r="B7" s="9" t="s">
        <v>58</v>
      </c>
      <c r="C7" s="48"/>
      <c r="D7" s="49"/>
      <c r="E7" s="34"/>
      <c r="F7" s="14"/>
      <c r="G7" s="34"/>
      <c r="H7" s="35"/>
    </row>
    <row r="8" spans="1:9" ht="12.75" x14ac:dyDescent="0.2">
      <c r="A8" s="14"/>
      <c r="B8" s="14" t="s">
        <v>146</v>
      </c>
      <c r="C8" s="48" t="s">
        <v>78</v>
      </c>
      <c r="D8" s="49"/>
      <c r="E8" s="34">
        <v>0.14201388888888888</v>
      </c>
      <c r="F8" s="14"/>
      <c r="G8" s="34"/>
      <c r="H8" s="35" t="s">
        <v>61</v>
      </c>
    </row>
    <row r="9" spans="1:9" ht="12.75" x14ac:dyDescent="0.2">
      <c r="A9" s="14"/>
      <c r="B9" s="14" t="s">
        <v>174</v>
      </c>
      <c r="C9" s="48" t="s">
        <v>175</v>
      </c>
      <c r="D9" s="49"/>
      <c r="E9" s="34">
        <v>0.15737268518518518</v>
      </c>
      <c r="F9" s="14"/>
      <c r="G9" s="34"/>
      <c r="H9" s="35" t="s">
        <v>67</v>
      </c>
    </row>
    <row r="10" spans="1:9" ht="12.75" x14ac:dyDescent="0.2">
      <c r="A10" s="14"/>
      <c r="B10" s="14" t="s">
        <v>77</v>
      </c>
      <c r="C10" s="48" t="s">
        <v>78</v>
      </c>
      <c r="D10" s="49"/>
      <c r="E10" s="34">
        <v>0.17856481481481482</v>
      </c>
      <c r="F10" s="14"/>
      <c r="G10" s="34"/>
      <c r="H10" s="35"/>
    </row>
    <row r="11" spans="1:9" ht="12.75" x14ac:dyDescent="0.2">
      <c r="A11" s="14"/>
      <c r="B11" s="14"/>
      <c r="C11" s="48"/>
      <c r="D11" s="49"/>
      <c r="E11" s="34"/>
      <c r="F11" s="14"/>
      <c r="G11" s="34"/>
      <c r="H11" s="35"/>
    </row>
    <row r="12" spans="1:9" ht="12.75" x14ac:dyDescent="0.2">
      <c r="A12" s="14"/>
      <c r="B12" s="14"/>
      <c r="C12" s="48"/>
      <c r="D12" s="49"/>
      <c r="E12" s="34"/>
      <c r="F12" s="14"/>
      <c r="G12" s="34"/>
      <c r="H12" s="35"/>
    </row>
    <row r="13" spans="1:9" ht="12.75" x14ac:dyDescent="0.2">
      <c r="A13" s="14"/>
      <c r="B13" s="14"/>
      <c r="C13" s="48"/>
      <c r="D13" s="49"/>
      <c r="E13" s="34"/>
      <c r="F13" s="14"/>
      <c r="G13" s="34"/>
      <c r="H13" s="35"/>
    </row>
    <row r="14" spans="1:9" ht="12.75" x14ac:dyDescent="0.2">
      <c r="A14" s="14"/>
      <c r="B14" s="14"/>
      <c r="C14" s="48"/>
      <c r="D14" s="49"/>
      <c r="E14" s="34"/>
      <c r="F14" s="14"/>
      <c r="G14" s="34"/>
      <c r="H14" s="35"/>
    </row>
    <row r="15" spans="1:9" ht="12.75" x14ac:dyDescent="0.2">
      <c r="A15" s="14"/>
      <c r="B15" s="14"/>
      <c r="C15" s="48"/>
      <c r="D15" s="49"/>
      <c r="E15" s="34"/>
      <c r="F15" s="34"/>
      <c r="G15" s="34"/>
      <c r="H15" s="35"/>
    </row>
    <row r="16" spans="1:9" ht="12.75" x14ac:dyDescent="0.2">
      <c r="A16" s="14"/>
      <c r="B16" s="14"/>
      <c r="C16" s="48"/>
      <c r="D16" s="49"/>
      <c r="E16" s="34"/>
      <c r="F16" s="34"/>
      <c r="G16" s="34"/>
      <c r="H16" s="35"/>
    </row>
    <row r="17" spans="1:8" ht="12.75" x14ac:dyDescent="0.2">
      <c r="A17" s="14"/>
      <c r="B17" s="14"/>
      <c r="C17" s="48"/>
      <c r="D17" s="49"/>
      <c r="E17" s="34"/>
      <c r="F17" s="34"/>
      <c r="G17" s="34"/>
      <c r="H17" s="35"/>
    </row>
    <row r="18" spans="1:8" ht="12.75" x14ac:dyDescent="0.2">
      <c r="A18" s="14"/>
      <c r="B18" s="14"/>
      <c r="C18" s="48"/>
      <c r="D18" s="49"/>
      <c r="E18" s="34"/>
      <c r="F18" s="34"/>
      <c r="G18" s="34"/>
      <c r="H18" s="35"/>
    </row>
    <row r="19" spans="1:8" ht="12.75" x14ac:dyDescent="0.2">
      <c r="A19" s="14"/>
      <c r="B19" s="14"/>
      <c r="C19" s="48"/>
      <c r="D19" s="49"/>
      <c r="E19" s="34"/>
      <c r="F19" s="34"/>
      <c r="G19" s="34"/>
      <c r="H19" s="35"/>
    </row>
    <row r="20" spans="1:8" ht="12.75" x14ac:dyDescent="0.2">
      <c r="A20" s="14"/>
      <c r="B20" s="14"/>
      <c r="C20" s="48"/>
      <c r="D20" s="49"/>
      <c r="E20" s="34"/>
      <c r="F20" s="34"/>
      <c r="G20" s="34"/>
      <c r="H20" s="35"/>
    </row>
    <row r="21" spans="1:8" ht="12.75" x14ac:dyDescent="0.2">
      <c r="A21" s="14"/>
      <c r="B21" s="14"/>
      <c r="C21" s="48"/>
      <c r="D21" s="49"/>
      <c r="E21" s="34"/>
      <c r="F21" s="34"/>
      <c r="G21" s="34"/>
      <c r="H21" s="35"/>
    </row>
    <row r="22" spans="1:8" ht="12.75" x14ac:dyDescent="0.2">
      <c r="A22" s="14"/>
      <c r="B22" s="14"/>
      <c r="C22" s="48"/>
      <c r="D22" s="49"/>
      <c r="E22" s="34"/>
      <c r="F22" s="34"/>
      <c r="G22" s="34"/>
      <c r="H22" s="35"/>
    </row>
    <row r="23" spans="1:8" ht="12.75" x14ac:dyDescent="0.2">
      <c r="A23" s="14"/>
      <c r="B23" s="14"/>
      <c r="C23" s="48"/>
      <c r="D23" s="49"/>
      <c r="E23" s="34"/>
      <c r="F23" s="34"/>
      <c r="G23" s="34"/>
      <c r="H23" s="35"/>
    </row>
    <row r="24" spans="1:8" ht="12.75" x14ac:dyDescent="0.2">
      <c r="A24" s="14"/>
      <c r="B24" s="14"/>
      <c r="C24" s="48"/>
      <c r="D24" s="49"/>
      <c r="E24" s="34"/>
      <c r="F24" s="34"/>
      <c r="G24" s="34"/>
      <c r="H24" s="35"/>
    </row>
    <row r="25" spans="1:8" ht="12.75" x14ac:dyDescent="0.2">
      <c r="A25" s="14"/>
      <c r="B25" s="14"/>
      <c r="C25" s="48"/>
      <c r="D25" s="49"/>
      <c r="E25" s="34"/>
      <c r="F25" s="34"/>
      <c r="G25" s="34"/>
      <c r="H25" s="35"/>
    </row>
    <row r="26" spans="1:8" ht="12.75" x14ac:dyDescent="0.2">
      <c r="A26" s="14"/>
      <c r="B26" s="14"/>
      <c r="C26" s="48"/>
      <c r="D26" s="49"/>
      <c r="E26" s="34"/>
      <c r="F26" s="34"/>
      <c r="G26" s="34"/>
      <c r="H26" s="35"/>
    </row>
    <row r="27" spans="1:8" ht="12.75" x14ac:dyDescent="0.2">
      <c r="A27" s="14"/>
      <c r="B27" s="14"/>
      <c r="C27" s="48"/>
      <c r="D27" s="49"/>
      <c r="E27" s="34"/>
      <c r="F27" s="34"/>
      <c r="G27" s="34"/>
      <c r="H27" s="35"/>
    </row>
    <row r="28" spans="1:8" ht="12.75" x14ac:dyDescent="0.2">
      <c r="A28" s="14"/>
      <c r="B28" s="14"/>
      <c r="C28" s="14"/>
      <c r="D28" s="14"/>
      <c r="E28" s="34"/>
      <c r="F28" s="34"/>
      <c r="G28" s="34"/>
      <c r="H28" s="35"/>
    </row>
    <row r="29" spans="1:8" ht="12.75" x14ac:dyDescent="0.2">
      <c r="A29" s="14"/>
      <c r="B29" s="14"/>
      <c r="C29" s="48"/>
      <c r="D29" s="49"/>
      <c r="E29" s="34"/>
      <c r="F29" s="34"/>
      <c r="G29" s="34"/>
      <c r="H29" s="35"/>
    </row>
    <row r="30" spans="1:8" ht="12.75" x14ac:dyDescent="0.2">
      <c r="A30" s="14"/>
      <c r="B30" s="14"/>
      <c r="C30" s="14"/>
      <c r="D30" s="14"/>
      <c r="E30" s="34"/>
      <c r="F30" s="34"/>
      <c r="G30" s="34"/>
      <c r="H30" s="35"/>
    </row>
    <row r="31" spans="1:8" ht="12.75" x14ac:dyDescent="0.2">
      <c r="A31" s="14"/>
      <c r="B31" s="14"/>
      <c r="C31" s="14"/>
      <c r="D31" s="14"/>
      <c r="E31" s="34"/>
      <c r="F31" s="34"/>
      <c r="G31" s="34"/>
      <c r="H31" s="35"/>
    </row>
    <row r="32" spans="1:8" ht="12.75" x14ac:dyDescent="0.2">
      <c r="A32" s="14"/>
      <c r="B32" s="14"/>
      <c r="C32" s="14"/>
      <c r="D32" s="14"/>
      <c r="E32" s="34"/>
      <c r="F32" s="34"/>
      <c r="G32" s="34"/>
      <c r="H32" s="35"/>
    </row>
    <row r="33" spans="1:8" ht="12.75" x14ac:dyDescent="0.2">
      <c r="A33" s="14"/>
      <c r="B33" s="14"/>
      <c r="C33" s="14"/>
      <c r="D33" s="14"/>
      <c r="E33" s="34"/>
      <c r="F33" s="34"/>
      <c r="G33" s="34"/>
      <c r="H33" s="35"/>
    </row>
  </sheetData>
  <mergeCells count="24">
    <mergeCell ref="C27:D27"/>
    <mergeCell ref="C29:D29"/>
    <mergeCell ref="C19:D19"/>
    <mergeCell ref="C20:D20"/>
    <mergeCell ref="C21:D21"/>
    <mergeCell ref="C22:D22"/>
    <mergeCell ref="C23:D23"/>
    <mergeCell ref="C24:D24"/>
    <mergeCell ref="C25:D25"/>
    <mergeCell ref="C15:D15"/>
    <mergeCell ref="C16:D16"/>
    <mergeCell ref="C17:D17"/>
    <mergeCell ref="C18:D18"/>
    <mergeCell ref="C26:D26"/>
    <mergeCell ref="C10:D10"/>
    <mergeCell ref="C11:D11"/>
    <mergeCell ref="C12:D12"/>
    <mergeCell ref="C13:D13"/>
    <mergeCell ref="C14:D14"/>
    <mergeCell ref="A1:H1"/>
    <mergeCell ref="A2:H2"/>
    <mergeCell ref="C7:D7"/>
    <mergeCell ref="C8:D8"/>
    <mergeCell ref="C9:D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P3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8.7109375" customWidth="1"/>
    <col min="2" max="2" width="22.42578125" customWidth="1"/>
    <col min="3" max="3" width="9.28515625" customWidth="1"/>
    <col min="4" max="14" width="10.28515625" customWidth="1"/>
    <col min="15" max="16" width="11.42578125" customWidth="1"/>
  </cols>
  <sheetData>
    <row r="1" spans="1:16" ht="15.75" customHeight="1" x14ac:dyDescent="0.4">
      <c r="A1" s="1" t="s">
        <v>34</v>
      </c>
      <c r="B1" s="1"/>
      <c r="C1" s="1">
        <v>6</v>
      </c>
      <c r="D1" s="1" t="s">
        <v>1</v>
      </c>
      <c r="E1" s="2"/>
      <c r="F1" s="3">
        <f ca="1">COUNTIF(C4:C109,"&gt;"&amp;0)+3</f>
        <v>30</v>
      </c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45765</v>
      </c>
      <c r="G2" s="6">
        <v>45768</v>
      </c>
      <c r="H2" s="6">
        <v>45802</v>
      </c>
      <c r="I2" s="6">
        <v>45809</v>
      </c>
      <c r="J2" s="6">
        <v>45816</v>
      </c>
      <c r="K2" s="6">
        <v>45837</v>
      </c>
      <c r="L2" s="6">
        <v>45858</v>
      </c>
      <c r="M2" s="6">
        <v>45865</v>
      </c>
      <c r="N2" s="7">
        <v>45885</v>
      </c>
      <c r="O2" s="8">
        <v>45928</v>
      </c>
      <c r="P2" s="6">
        <v>45557</v>
      </c>
    </row>
    <row r="3" spans="1:16" x14ac:dyDescent="0.2">
      <c r="A3" s="9"/>
      <c r="B3" s="9"/>
      <c r="C3" s="9"/>
      <c r="D3" s="9"/>
      <c r="E3" s="9">
        <v>10</v>
      </c>
      <c r="F3" s="9">
        <v>25</v>
      </c>
      <c r="G3" s="9">
        <v>10</v>
      </c>
      <c r="H3" s="9">
        <v>25</v>
      </c>
      <c r="I3" s="9">
        <v>10</v>
      </c>
      <c r="J3" s="9">
        <v>10</v>
      </c>
      <c r="K3" s="9">
        <v>50</v>
      </c>
      <c r="L3" s="9">
        <v>50</v>
      </c>
      <c r="M3" s="9">
        <v>25</v>
      </c>
      <c r="N3" s="10">
        <v>10</v>
      </c>
      <c r="O3" s="11">
        <v>25</v>
      </c>
      <c r="P3" s="9">
        <v>48</v>
      </c>
    </row>
    <row r="4" spans="1:16" x14ac:dyDescent="0.2">
      <c r="A4" s="12">
        <f t="shared" ref="A4:A34" ca="1" si="0">RANK(C4,$C$4:$C$39)</f>
        <v>1</v>
      </c>
      <c r="B4" s="13" t="s">
        <v>6</v>
      </c>
      <c r="C4" s="14">
        <f t="array" aca="1" ref="C4" ca="1">SUM(LARGE(E4:P4,{1,2,3,4,5,6}))</f>
        <v>356</v>
      </c>
      <c r="D4" s="14">
        <f t="shared" ref="D4:D34" ca="1" si="1">COUNTIF(E4:P4,"&gt;"&amp;0)</f>
        <v>7</v>
      </c>
      <c r="E4" s="14">
        <f ca="1">SUMPRODUCT((Input!$L$3:$L$1000=E$2)*(Input!$O$3:$O$1000=$B4)*(Input!$V$3:$V$1000))</f>
        <v>60</v>
      </c>
      <c r="F4" s="14">
        <f ca="1">SUMPRODUCT((Input!$L$3:$L$1000=F$2)*(Input!$O$3:$O$1000=$B4)*(Input!$V$3:$V$1000))</f>
        <v>0</v>
      </c>
      <c r="G4" s="14">
        <f ca="1">SUMPRODUCT((Input!$L$3:$L$1000=G$2)*(Input!$O$3:$O$1000=$B4)*(Input!$V$3:$V$1000))</f>
        <v>51</v>
      </c>
      <c r="H4" s="14">
        <f ca="1">SUMPRODUCT((Input!$L$3:$L$1000=H$2)*(Input!$O$3:$O$1000=$B4)*(Input!$V$3:$V$1000))</f>
        <v>59</v>
      </c>
      <c r="I4" s="14">
        <f ca="1">SUMPRODUCT((Input!$L$3:$L$1000=I$2)*(Input!$O$3:$O$1000=$B4)*(Input!$V$3:$V$1000))</f>
        <v>60</v>
      </c>
      <c r="J4" s="14">
        <f ca="1">SUMPRODUCT((Input!$L$3:$L$1000=J$2)*(Input!$O$3:$O$1000=$B4)*(Input!$V$3:$V$1000))</f>
        <v>0</v>
      </c>
      <c r="K4" s="14">
        <f ca="1">SUMPRODUCT((Input!$L$3:$L$1000=K$2)*(Input!$O$3:$O$1000=$B4)*(Input!$V$3:$V$1000))</f>
        <v>60</v>
      </c>
      <c r="L4" s="14">
        <f ca="1">SUMPRODUCT((Input!$L$3:$L$1000=L$2)*(Input!$O$3:$O$1000=$B4)*(Input!$V$3:$V$1000))</f>
        <v>58</v>
      </c>
      <c r="M4" s="14">
        <f ca="1">SUMPRODUCT((Input!$L$3:$L$1000=M$2)*(Input!$O$3:$O$1000=$B4)*(Input!$V$3:$V$1000))</f>
        <v>59</v>
      </c>
      <c r="N4" s="14">
        <f ca="1">SUMPRODUCT((Input!$L$3:$L$1000=N$2)*(Input!$O$3:$O$1000=$B4)*(Input!$V$3:$V$1000))</f>
        <v>0</v>
      </c>
      <c r="O4" s="14">
        <f ca="1">SUMPRODUCT((Input!$L$3:$L$1000=O$2)*(Input!$O$3:$O$1000=$B4)*(Input!$V$3:$V$1000))</f>
        <v>0</v>
      </c>
      <c r="P4" s="14"/>
    </row>
    <row r="5" spans="1:16" x14ac:dyDescent="0.2">
      <c r="A5" s="12">
        <f t="shared" ca="1" si="0"/>
        <v>2</v>
      </c>
      <c r="B5" s="13" t="s">
        <v>7</v>
      </c>
      <c r="C5" s="14">
        <f t="array" aca="1" ref="C5" ca="1">SUM(LARGE(E5:P5,{1,2,3,4,5,6}))</f>
        <v>339</v>
      </c>
      <c r="D5" s="14">
        <f t="shared" ca="1" si="1"/>
        <v>6</v>
      </c>
      <c r="E5" s="14">
        <f ca="1">SUMPRODUCT((Input!$L$3:$L$1000=E$2)*(Input!$O$3:$O$1000=$B5)*(Input!$V$3:$V$1000))</f>
        <v>0</v>
      </c>
      <c r="F5" s="14">
        <f ca="1">SUMPRODUCT((Input!$L$3:$L$1000=F$2)*(Input!$O$3:$O$1000=$B5)*(Input!$V$3:$V$1000))</f>
        <v>0</v>
      </c>
      <c r="G5" s="14">
        <f ca="1">SUMPRODUCT((Input!$L$3:$L$1000=G$2)*(Input!$O$3:$O$1000=$B5)*(Input!$V$3:$V$1000))</f>
        <v>50</v>
      </c>
      <c r="H5" s="14">
        <f ca="1">SUMPRODUCT((Input!$L$3:$L$1000=H$2)*(Input!$O$3:$O$1000=$B5)*(Input!$V$3:$V$1000))</f>
        <v>57</v>
      </c>
      <c r="I5" s="14">
        <f ca="1">SUMPRODUCT((Input!$L$3:$L$1000=I$2)*(Input!$O$3:$O$1000=$B5)*(Input!$V$3:$V$1000))</f>
        <v>58</v>
      </c>
      <c r="J5" s="14">
        <f ca="1">SUMPRODUCT((Input!$L$3:$L$1000=J$2)*(Input!$O$3:$O$1000=$B5)*(Input!$V$3:$V$1000))</f>
        <v>55</v>
      </c>
      <c r="K5" s="14">
        <f ca="1">SUMPRODUCT((Input!$L$3:$L$1000=K$2)*(Input!$O$3:$O$1000=$B5)*(Input!$V$3:$V$1000))</f>
        <v>59</v>
      </c>
      <c r="L5" s="14">
        <f ca="1">SUMPRODUCT((Input!$L$3:$L$1000=L$2)*(Input!$O$3:$O$1000=$B5)*(Input!$V$3:$V$1000))</f>
        <v>0</v>
      </c>
      <c r="M5" s="14">
        <f ca="1">SUMPRODUCT((Input!$L$3:$L$1000=M$2)*(Input!$O$3:$O$1000=$B5)*(Input!$V$3:$V$1000))</f>
        <v>60</v>
      </c>
      <c r="N5" s="14">
        <f ca="1">SUMPRODUCT((Input!$L$3:$L$1000=N$2)*(Input!$O$3:$O$1000=$B5)*(Input!$V$3:$V$1000))</f>
        <v>0</v>
      </c>
      <c r="O5" s="14">
        <f ca="1">SUMPRODUCT((Input!$L$3:$L$1000=O$2)*(Input!$O$3:$O$1000=$B5)*(Input!$V$3:$V$1000))</f>
        <v>0</v>
      </c>
      <c r="P5" s="14"/>
    </row>
    <row r="6" spans="1:16" x14ac:dyDescent="0.2">
      <c r="A6" s="12">
        <f t="shared" ca="1" si="0"/>
        <v>3</v>
      </c>
      <c r="B6" s="13" t="s">
        <v>8</v>
      </c>
      <c r="C6" s="14">
        <f t="array" aca="1" ref="C6" ca="1">SUM(LARGE(E6:P6,{1,2,3,4,5,6}))</f>
        <v>330</v>
      </c>
      <c r="D6" s="14">
        <f t="shared" ca="1" si="1"/>
        <v>7</v>
      </c>
      <c r="E6" s="14">
        <f ca="1">SUMPRODUCT((Input!$L$3:$L$1000=E$2)*(Input!$O$3:$O$1000=$B6)*(Input!$V$3:$V$1000))</f>
        <v>0</v>
      </c>
      <c r="F6" s="14">
        <f ca="1">SUMPRODUCT((Input!$L$3:$L$1000=F$2)*(Input!$O$3:$O$1000=$B6)*(Input!$V$3:$V$1000))</f>
        <v>57</v>
      </c>
      <c r="G6" s="14">
        <f ca="1">SUMPRODUCT((Input!$L$3:$L$1000=G$2)*(Input!$O$3:$O$1000=$B6)*(Input!$V$3:$V$1000))</f>
        <v>42</v>
      </c>
      <c r="H6" s="14">
        <f ca="1">SUMPRODUCT((Input!$L$3:$L$1000=H$2)*(Input!$O$3:$O$1000=$B6)*(Input!$V$3:$V$1000))</f>
        <v>53</v>
      </c>
      <c r="I6" s="14">
        <f ca="1">SUMPRODUCT((Input!$L$3:$L$1000=I$2)*(Input!$O$3:$O$1000=$B6)*(Input!$V$3:$V$1000))</f>
        <v>57</v>
      </c>
      <c r="J6" s="14">
        <f ca="1">SUMPRODUCT((Input!$L$3:$L$1000=J$2)*(Input!$O$3:$O$1000=$B6)*(Input!$V$3:$V$1000))</f>
        <v>49</v>
      </c>
      <c r="K6" s="14">
        <f ca="1">SUMPRODUCT((Input!$L$3:$L$1000=K$2)*(Input!$O$3:$O$1000=$B6)*(Input!$V$3:$V$1000))</f>
        <v>55</v>
      </c>
      <c r="L6" s="14">
        <f ca="1">SUMPRODUCT((Input!$L$3:$L$1000=L$2)*(Input!$O$3:$O$1000=$B6)*(Input!$V$3:$V$1000))</f>
        <v>59</v>
      </c>
      <c r="M6" s="14">
        <f ca="1">SUMPRODUCT((Input!$L$3:$L$1000=M$2)*(Input!$O$3:$O$1000=$B6)*(Input!$V$3:$V$1000))</f>
        <v>0</v>
      </c>
      <c r="N6" s="14">
        <f ca="1">SUMPRODUCT((Input!$L$3:$L$1000=N$2)*(Input!$O$3:$O$1000=$B6)*(Input!$V$3:$V$1000))</f>
        <v>0</v>
      </c>
      <c r="O6" s="14">
        <f ca="1">SUMPRODUCT((Input!$L$3:$L$1000=O$2)*(Input!$O$3:$O$1000=$B6)*(Input!$V$3:$V$1000))</f>
        <v>0</v>
      </c>
      <c r="P6" s="14"/>
    </row>
    <row r="7" spans="1:16" x14ac:dyDescent="0.2">
      <c r="A7" s="12">
        <f t="shared" ca="1" si="0"/>
        <v>4</v>
      </c>
      <c r="B7" s="13" t="s">
        <v>9</v>
      </c>
      <c r="C7" s="14">
        <f t="array" aca="1" ref="C7" ca="1">SUM(LARGE(E7:P7,{1,2,3,4,5,6}))</f>
        <v>315</v>
      </c>
      <c r="D7" s="14">
        <f t="shared" ca="1" si="1"/>
        <v>6</v>
      </c>
      <c r="E7" s="14">
        <f ca="1">SUMPRODUCT((Input!$L$3:$L$1000=E$2)*(Input!$O$3:$O$1000=$B7)*(Input!$V$3:$V$1000))</f>
        <v>0</v>
      </c>
      <c r="F7" s="14">
        <f ca="1">SUMPRODUCT((Input!$L$3:$L$1000=F$2)*(Input!$O$3:$O$1000=$B7)*(Input!$V$3:$V$1000))</f>
        <v>58</v>
      </c>
      <c r="G7" s="14">
        <f ca="1">SUMPRODUCT((Input!$L$3:$L$1000=G$2)*(Input!$O$3:$O$1000=$B7)*(Input!$V$3:$V$1000))</f>
        <v>41</v>
      </c>
      <c r="H7" s="14">
        <f ca="1">SUMPRODUCT((Input!$L$3:$L$1000=H$2)*(Input!$O$3:$O$1000=$B7)*(Input!$V$3:$V$1000))</f>
        <v>54</v>
      </c>
      <c r="I7" s="14">
        <f ca="1">SUMPRODUCT((Input!$L$3:$L$1000=I$2)*(Input!$O$3:$O$1000=$B7)*(Input!$V$3:$V$1000))</f>
        <v>0</v>
      </c>
      <c r="J7" s="14">
        <f ca="1">SUMPRODUCT((Input!$L$3:$L$1000=J$2)*(Input!$O$3:$O$1000=$B7)*(Input!$V$3:$V$1000))</f>
        <v>48</v>
      </c>
      <c r="K7" s="14">
        <f ca="1">SUMPRODUCT((Input!$L$3:$L$1000=K$2)*(Input!$O$3:$O$1000=$B7)*(Input!$V$3:$V$1000))</f>
        <v>58</v>
      </c>
      <c r="L7" s="14">
        <f ca="1">SUMPRODUCT((Input!$L$3:$L$1000=L$2)*(Input!$O$3:$O$1000=$B7)*(Input!$V$3:$V$1000))</f>
        <v>0</v>
      </c>
      <c r="M7" s="14">
        <f ca="1">SUMPRODUCT((Input!$L$3:$L$1000=M$2)*(Input!$O$3:$O$1000=$B7)*(Input!$V$3:$V$1000))</f>
        <v>56</v>
      </c>
      <c r="N7" s="14">
        <f ca="1">SUMPRODUCT((Input!$L$3:$L$1000=N$2)*(Input!$O$3:$O$1000=$B7)*(Input!$V$3:$V$1000))</f>
        <v>0</v>
      </c>
      <c r="O7" s="14">
        <f ca="1">SUMPRODUCT((Input!$L$3:$L$1000=O$2)*(Input!$O$3:$O$1000=$B7)*(Input!$V$3:$V$1000))</f>
        <v>0</v>
      </c>
      <c r="P7" s="14"/>
    </row>
    <row r="8" spans="1:16" x14ac:dyDescent="0.2">
      <c r="A8" s="12">
        <f t="shared" ca="1" si="0"/>
        <v>5</v>
      </c>
      <c r="B8" s="13" t="s">
        <v>10</v>
      </c>
      <c r="C8" s="14">
        <f t="array" aca="1" ref="C8" ca="1">SUM(LARGE(E8:P8,{1,2,3,4,5,6}))</f>
        <v>295</v>
      </c>
      <c r="D8" s="14">
        <f t="shared" ca="1" si="1"/>
        <v>5</v>
      </c>
      <c r="E8" s="14">
        <f ca="1">SUMPRODUCT((Input!$L$3:$L$1000=E$2)*(Input!$O$3:$O$1000=$B8)*(Input!$V$3:$V$1000))</f>
        <v>0</v>
      </c>
      <c r="F8" s="14">
        <f ca="1">SUMPRODUCT((Input!$L$3:$L$1000=F$2)*(Input!$O$3:$O$1000=$B8)*(Input!$V$3:$V$1000))</f>
        <v>0</v>
      </c>
      <c r="G8" s="14">
        <f ca="1">SUMPRODUCT((Input!$L$3:$L$1000=G$2)*(Input!$O$3:$O$1000=$B8)*(Input!$V$3:$V$1000))</f>
        <v>60</v>
      </c>
      <c r="H8" s="14">
        <f ca="1">SUMPRODUCT((Input!$L$3:$L$1000=H$2)*(Input!$O$3:$O$1000=$B8)*(Input!$V$3:$V$1000))</f>
        <v>58</v>
      </c>
      <c r="I8" s="14">
        <f ca="1">SUMPRODUCT((Input!$L$3:$L$1000=I$2)*(Input!$O$3:$O$1000=$B8)*(Input!$V$3:$V$1000))</f>
        <v>59</v>
      </c>
      <c r="J8" s="14">
        <f ca="1">SUMPRODUCT((Input!$L$3:$L$1000=J$2)*(Input!$O$3:$O$1000=$B8)*(Input!$V$3:$V$1000))</f>
        <v>0</v>
      </c>
      <c r="K8" s="14">
        <f ca="1">SUMPRODUCT((Input!$L$3:$L$1000=K$2)*(Input!$O$3:$O$1000=$B8)*(Input!$V$3:$V$1000))</f>
        <v>0</v>
      </c>
      <c r="L8" s="14">
        <f ca="1">SUMPRODUCT((Input!$L$3:$L$1000=L$2)*(Input!$O$3:$O$1000=$B8)*(Input!$V$3:$V$1000))</f>
        <v>60</v>
      </c>
      <c r="M8" s="14">
        <f ca="1">SUMPRODUCT((Input!$L$3:$L$1000=M$2)*(Input!$O$3:$O$1000=$B8)*(Input!$V$3:$V$1000))</f>
        <v>58</v>
      </c>
      <c r="N8" s="14">
        <f ca="1">SUMPRODUCT((Input!$L$3:$L$1000=N$2)*(Input!$O$3:$O$1000=$B8)*(Input!$V$3:$V$1000))</f>
        <v>0</v>
      </c>
      <c r="O8" s="14">
        <f ca="1">SUMPRODUCT((Input!$L$3:$L$1000=O$2)*(Input!$O$3:$O$1000=$B8)*(Input!$V$3:$V$1000))</f>
        <v>0</v>
      </c>
      <c r="P8" s="14"/>
    </row>
    <row r="9" spans="1:16" x14ac:dyDescent="0.2">
      <c r="A9" s="12">
        <f t="shared" ca="1" si="0"/>
        <v>6</v>
      </c>
      <c r="B9" s="13" t="s">
        <v>11</v>
      </c>
      <c r="C9" s="14">
        <f t="array" aca="1" ref="C9" ca="1">SUM(LARGE(E9:P9,{1,2,3,4,5,6}))</f>
        <v>164</v>
      </c>
      <c r="D9" s="14">
        <f t="shared" ca="1" si="1"/>
        <v>3</v>
      </c>
      <c r="E9" s="14">
        <f ca="1">SUMPRODUCT((Input!$L$3:$L$1000=E$2)*(Input!$O$3:$O$1000=$B9)*(Input!$V$3:$V$1000))</f>
        <v>0</v>
      </c>
      <c r="F9" s="14">
        <f ca="1">SUMPRODUCT((Input!$L$3:$L$1000=F$2)*(Input!$O$3:$O$1000=$B9)*(Input!$V$3:$V$1000))</f>
        <v>0</v>
      </c>
      <c r="G9" s="14">
        <f ca="1">SUMPRODUCT((Input!$L$3:$L$1000=G$2)*(Input!$O$3:$O$1000=$B9)*(Input!$V$3:$V$1000))</f>
        <v>0</v>
      </c>
      <c r="H9" s="14">
        <f ca="1">SUMPRODUCT((Input!$L$3:$L$1000=H$2)*(Input!$O$3:$O$1000=$B9)*(Input!$V$3:$V$1000))</f>
        <v>60</v>
      </c>
      <c r="I9" s="14">
        <f ca="1">SUMPRODUCT((Input!$L$3:$L$1000=I$2)*(Input!$O$3:$O$1000=$B9)*(Input!$V$3:$V$1000))</f>
        <v>0</v>
      </c>
      <c r="J9" s="14">
        <f ca="1">SUMPRODUCT((Input!$L$3:$L$1000=J$2)*(Input!$O$3:$O$1000=$B9)*(Input!$V$3:$V$1000))</f>
        <v>50</v>
      </c>
      <c r="K9" s="14">
        <f ca="1">SUMPRODUCT((Input!$L$3:$L$1000=K$2)*(Input!$O$3:$O$1000=$B9)*(Input!$V$3:$V$1000))</f>
        <v>54</v>
      </c>
      <c r="L9" s="14">
        <f ca="1">SUMPRODUCT((Input!$L$3:$L$1000=L$2)*(Input!$O$3:$O$1000=$B9)*(Input!$V$3:$V$1000))</f>
        <v>0</v>
      </c>
      <c r="M9" s="14">
        <f ca="1">SUMPRODUCT((Input!$L$3:$L$1000=M$2)*(Input!$O$3:$O$1000=$B9)*(Input!$V$3:$V$1000))</f>
        <v>0</v>
      </c>
      <c r="N9" s="14">
        <f ca="1">SUMPRODUCT((Input!$L$3:$L$1000=N$2)*(Input!$O$3:$O$1000=$B9)*(Input!$V$3:$V$1000))</f>
        <v>0</v>
      </c>
      <c r="O9" s="14">
        <f ca="1">SUMPRODUCT((Input!$L$3:$L$1000=O$2)*(Input!$O$3:$O$1000=$B9)*(Input!$V$3:$V$1000))</f>
        <v>0</v>
      </c>
      <c r="P9" s="14"/>
    </row>
    <row r="10" spans="1:16" x14ac:dyDescent="0.2">
      <c r="A10" s="12">
        <f t="shared" ca="1" si="0"/>
        <v>7</v>
      </c>
      <c r="B10" s="13" t="s">
        <v>12</v>
      </c>
      <c r="C10" s="14">
        <f t="array" aca="1" ref="C10" ca="1">SUM(LARGE(E10:P10,{1,2,3,4,5,6}))</f>
        <v>163</v>
      </c>
      <c r="D10" s="14">
        <f t="shared" ca="1" si="1"/>
        <v>3</v>
      </c>
      <c r="E10" s="14">
        <f ca="1">SUMPRODUCT((Input!$L$3:$L$1000=E$2)*(Input!$O$3:$O$1000=$B10)*(Input!$V$3:$V$1000))</f>
        <v>0</v>
      </c>
      <c r="F10" s="14">
        <f ca="1">SUMPRODUCT((Input!$L$3:$L$1000=F$2)*(Input!$O$3:$O$1000=$B10)*(Input!$V$3:$V$1000))</f>
        <v>0</v>
      </c>
      <c r="G10" s="14">
        <f ca="1">SUMPRODUCT((Input!$L$3:$L$1000=G$2)*(Input!$O$3:$O$1000=$B10)*(Input!$V$3:$V$1000))</f>
        <v>52</v>
      </c>
      <c r="H10" s="14">
        <f ca="1">SUMPRODUCT((Input!$L$3:$L$1000=H$2)*(Input!$O$3:$O$1000=$B10)*(Input!$V$3:$V$1000))</f>
        <v>0</v>
      </c>
      <c r="I10" s="14">
        <f ca="1">SUMPRODUCT((Input!$L$3:$L$1000=I$2)*(Input!$O$3:$O$1000=$B10)*(Input!$V$3:$V$1000))</f>
        <v>0</v>
      </c>
      <c r="J10" s="14">
        <f ca="1">SUMPRODUCT((Input!$L$3:$L$1000=J$2)*(Input!$O$3:$O$1000=$B10)*(Input!$V$3:$V$1000))</f>
        <v>0</v>
      </c>
      <c r="K10" s="14">
        <f ca="1">SUMPRODUCT((Input!$L$3:$L$1000=K$2)*(Input!$O$3:$O$1000=$B10)*(Input!$V$3:$V$1000))</f>
        <v>56</v>
      </c>
      <c r="L10" s="14">
        <f ca="1">SUMPRODUCT((Input!$L$3:$L$1000=L$2)*(Input!$O$3:$O$1000=$B10)*(Input!$V$3:$V$1000))</f>
        <v>0</v>
      </c>
      <c r="M10" s="14">
        <f ca="1">SUMPRODUCT((Input!$L$3:$L$1000=M$2)*(Input!$O$3:$O$1000=$B10)*(Input!$V$3:$V$1000))</f>
        <v>55</v>
      </c>
      <c r="N10" s="14">
        <f ca="1">SUMPRODUCT((Input!$L$3:$L$1000=N$2)*(Input!$O$3:$O$1000=$B10)*(Input!$V$3:$V$1000))</f>
        <v>0</v>
      </c>
      <c r="O10" s="14">
        <f ca="1">SUMPRODUCT((Input!$L$3:$L$1000=O$2)*(Input!$O$3:$O$1000=$B10)*(Input!$V$3:$V$1000))</f>
        <v>0</v>
      </c>
      <c r="P10" s="14"/>
    </row>
    <row r="11" spans="1:16" x14ac:dyDescent="0.2">
      <c r="A11" s="12">
        <f t="shared" ca="1" si="0"/>
        <v>8</v>
      </c>
      <c r="B11" s="13" t="s">
        <v>13</v>
      </c>
      <c r="C11" s="14">
        <f t="array" aca="1" ref="C11" ca="1">SUM(LARGE(E11:P11,{1,2,3,4,5,6}))</f>
        <v>159</v>
      </c>
      <c r="D11" s="14">
        <f t="shared" ca="1" si="1"/>
        <v>3</v>
      </c>
      <c r="E11" s="14">
        <f ca="1">SUMPRODUCT((Input!$L$3:$L$1000=E$2)*(Input!$O$3:$O$1000=$B11)*(Input!$V$3:$V$1000))</f>
        <v>0</v>
      </c>
      <c r="F11" s="14">
        <f ca="1">SUMPRODUCT((Input!$L$3:$L$1000=F$2)*(Input!$O$3:$O$1000=$B11)*(Input!$V$3:$V$1000))</f>
        <v>0</v>
      </c>
      <c r="G11" s="14">
        <f ca="1">SUMPRODUCT((Input!$L$3:$L$1000=G$2)*(Input!$O$3:$O$1000=$B11)*(Input!$V$3:$V$1000))</f>
        <v>49</v>
      </c>
      <c r="H11" s="14">
        <f ca="1">SUMPRODUCT((Input!$L$3:$L$1000=H$2)*(Input!$O$3:$O$1000=$B11)*(Input!$V$3:$V$1000))</f>
        <v>0</v>
      </c>
      <c r="I11" s="14">
        <f ca="1">SUMPRODUCT((Input!$L$3:$L$1000=I$2)*(Input!$O$3:$O$1000=$B11)*(Input!$V$3:$V$1000))</f>
        <v>0</v>
      </c>
      <c r="J11" s="14">
        <f ca="1">SUMPRODUCT((Input!$L$3:$L$1000=J$2)*(Input!$O$3:$O$1000=$B11)*(Input!$V$3:$V$1000))</f>
        <v>56</v>
      </c>
      <c r="K11" s="14">
        <f ca="1">SUMPRODUCT((Input!$L$3:$L$1000=K$2)*(Input!$O$3:$O$1000=$B11)*(Input!$V$3:$V$1000))</f>
        <v>0</v>
      </c>
      <c r="L11" s="14">
        <f ca="1">SUMPRODUCT((Input!$L$3:$L$1000=L$2)*(Input!$O$3:$O$1000=$B11)*(Input!$V$3:$V$1000))</f>
        <v>0</v>
      </c>
      <c r="M11" s="14">
        <f ca="1">SUMPRODUCT((Input!$L$3:$L$1000=M$2)*(Input!$O$3:$O$1000=$B11)*(Input!$V$3:$V$1000))</f>
        <v>54</v>
      </c>
      <c r="N11" s="14">
        <f ca="1">SUMPRODUCT((Input!$L$3:$L$1000=N$2)*(Input!$O$3:$O$1000=$B11)*(Input!$V$3:$V$1000))</f>
        <v>0</v>
      </c>
      <c r="O11" s="14">
        <f ca="1">SUMPRODUCT((Input!$L$3:$L$1000=O$2)*(Input!$O$3:$O$1000=$B11)*(Input!$V$3:$V$1000))</f>
        <v>0</v>
      </c>
      <c r="P11" s="14"/>
    </row>
    <row r="12" spans="1:16" x14ac:dyDescent="0.2">
      <c r="A12" s="12">
        <f t="shared" ca="1" si="0"/>
        <v>9</v>
      </c>
      <c r="B12" s="13" t="s">
        <v>14</v>
      </c>
      <c r="C12" s="14">
        <f t="array" aca="1" ref="C12" ca="1">SUM(LARGE(E12:P12,{1,2,3,4,5,6}))</f>
        <v>116</v>
      </c>
      <c r="D12" s="14">
        <f t="shared" ca="1" si="1"/>
        <v>2</v>
      </c>
      <c r="E12" s="14">
        <f ca="1">SUMPRODUCT((Input!$L$3:$L$1000=E$2)*(Input!$O$3:$O$1000=$B12)*(Input!$V$3:$V$1000))</f>
        <v>0</v>
      </c>
      <c r="F12" s="14">
        <f ca="1">SUMPRODUCT((Input!$L$3:$L$1000=F$2)*(Input!$O$3:$O$1000=$B12)*(Input!$V$3:$V$1000))</f>
        <v>60</v>
      </c>
      <c r="G12" s="14">
        <f ca="1">SUMPRODUCT((Input!$L$3:$L$1000=G$2)*(Input!$O$3:$O$1000=$B12)*(Input!$V$3:$V$1000))</f>
        <v>0</v>
      </c>
      <c r="H12" s="14">
        <f ca="1">SUMPRODUCT((Input!$L$3:$L$1000=H$2)*(Input!$O$3:$O$1000=$B12)*(Input!$V$3:$V$1000))</f>
        <v>56</v>
      </c>
      <c r="I12" s="14">
        <f ca="1">SUMPRODUCT((Input!$L$3:$L$1000=I$2)*(Input!$O$3:$O$1000=$B12)*(Input!$V$3:$V$1000))</f>
        <v>0</v>
      </c>
      <c r="J12" s="14">
        <f ca="1">SUMPRODUCT((Input!$L$3:$L$1000=J$2)*(Input!$O$3:$O$1000=$B12)*(Input!$V$3:$V$1000))</f>
        <v>0</v>
      </c>
      <c r="K12" s="14">
        <f ca="1">SUMPRODUCT((Input!$L$3:$L$1000=K$2)*(Input!$O$3:$O$1000=$B12)*(Input!$V$3:$V$1000))</f>
        <v>0</v>
      </c>
      <c r="L12" s="14">
        <f ca="1">SUMPRODUCT((Input!$L$3:$L$1000=L$2)*(Input!$O$3:$O$1000=$B12)*(Input!$V$3:$V$1000))</f>
        <v>0</v>
      </c>
      <c r="M12" s="14">
        <f ca="1">SUMPRODUCT((Input!$L$3:$L$1000=M$2)*(Input!$O$3:$O$1000=$B12)*(Input!$V$3:$V$1000))</f>
        <v>0</v>
      </c>
      <c r="N12" s="14">
        <f ca="1">SUMPRODUCT((Input!$L$3:$L$1000=N$2)*(Input!$O$3:$O$1000=$B12)*(Input!$V$3:$V$1000))</f>
        <v>0</v>
      </c>
      <c r="O12" s="14">
        <f ca="1">SUMPRODUCT((Input!$L$3:$L$1000=O$2)*(Input!$O$3:$O$1000=$B12)*(Input!$V$3:$V$1000))</f>
        <v>0</v>
      </c>
      <c r="P12" s="14"/>
    </row>
    <row r="13" spans="1:16" x14ac:dyDescent="0.2">
      <c r="A13" s="12">
        <f t="shared" ca="1" si="0"/>
        <v>9</v>
      </c>
      <c r="B13" s="13" t="s">
        <v>17</v>
      </c>
      <c r="C13" s="14">
        <f t="array" aca="1" ref="C13" ca="1">SUM(LARGE(E13:P13,{1,2,3,4,5,6}))</f>
        <v>116</v>
      </c>
      <c r="D13" s="14">
        <f t="shared" ca="1" si="1"/>
        <v>2</v>
      </c>
      <c r="E13" s="14">
        <f ca="1">SUMPRODUCT((Input!$L$3:$L$1000=E$2)*(Input!$O$3:$O$1000=$B13)*(Input!$V$3:$V$1000))</f>
        <v>0</v>
      </c>
      <c r="F13" s="14">
        <f ca="1">SUMPRODUCT((Input!$L$3:$L$1000=F$2)*(Input!$O$3:$O$1000=$B13)*(Input!$V$3:$V$1000))</f>
        <v>0</v>
      </c>
      <c r="G13" s="14">
        <f ca="1">SUMPRODUCT((Input!$L$3:$L$1000=G$2)*(Input!$O$3:$O$1000=$B13)*(Input!$V$3:$V$1000))</f>
        <v>58</v>
      </c>
      <c r="H13" s="14">
        <f ca="1">SUMPRODUCT((Input!$L$3:$L$1000=H$2)*(Input!$O$3:$O$1000=$B13)*(Input!$V$3:$V$1000))</f>
        <v>0</v>
      </c>
      <c r="I13" s="14">
        <f ca="1">SUMPRODUCT((Input!$L$3:$L$1000=I$2)*(Input!$O$3:$O$1000=$B13)*(Input!$V$3:$V$1000))</f>
        <v>0</v>
      </c>
      <c r="J13" s="14">
        <f ca="1">SUMPRODUCT((Input!$L$3:$L$1000=J$2)*(Input!$O$3:$O$1000=$B13)*(Input!$V$3:$V$1000))</f>
        <v>58</v>
      </c>
      <c r="K13" s="14">
        <f ca="1">SUMPRODUCT((Input!$L$3:$L$1000=K$2)*(Input!$O$3:$O$1000=$B13)*(Input!$V$3:$V$1000))</f>
        <v>0</v>
      </c>
      <c r="L13" s="14">
        <f ca="1">SUMPRODUCT((Input!$L$3:$L$1000=L$2)*(Input!$O$3:$O$1000=$B13)*(Input!$V$3:$V$1000))</f>
        <v>0</v>
      </c>
      <c r="M13" s="14">
        <f ca="1">SUMPRODUCT((Input!$L$3:$L$1000=M$2)*(Input!$O$3:$O$1000=$B13)*(Input!$V$3:$V$1000))</f>
        <v>0</v>
      </c>
      <c r="N13" s="14">
        <f ca="1">SUMPRODUCT((Input!$L$3:$L$1000=N$2)*(Input!$O$3:$O$1000=$B13)*(Input!$V$3:$V$1000))</f>
        <v>0</v>
      </c>
      <c r="O13" s="14">
        <f ca="1">SUMPRODUCT((Input!$L$3:$L$1000=O$2)*(Input!$O$3:$O$1000=$B13)*(Input!$V$3:$V$1000))</f>
        <v>0</v>
      </c>
      <c r="P13" s="14"/>
    </row>
    <row r="14" spans="1:16" x14ac:dyDescent="0.2">
      <c r="A14" s="12">
        <f t="shared" ca="1" si="0"/>
        <v>9</v>
      </c>
      <c r="B14" s="13" t="s">
        <v>18</v>
      </c>
      <c r="C14" s="14">
        <f t="array" aca="1" ref="C14" ca="1">SUM(LARGE(E14:P14,{1,2,3,4,5,6}))</f>
        <v>116</v>
      </c>
      <c r="D14" s="14">
        <f t="shared" ca="1" si="1"/>
        <v>2</v>
      </c>
      <c r="E14" s="14">
        <f ca="1">SUMPRODUCT((Input!$L$3:$L$1000=E$2)*(Input!$O$3:$O$1000=$B14)*(Input!$V$3:$V$1000))</f>
        <v>0</v>
      </c>
      <c r="F14" s="14">
        <f ca="1">SUMPRODUCT((Input!$L$3:$L$1000=F$2)*(Input!$O$3:$O$1000=$B14)*(Input!$V$3:$V$1000))</f>
        <v>0</v>
      </c>
      <c r="G14" s="14">
        <f ca="1">SUMPRODUCT((Input!$L$3:$L$1000=G$2)*(Input!$O$3:$O$1000=$B14)*(Input!$V$3:$V$1000))</f>
        <v>57</v>
      </c>
      <c r="H14" s="14">
        <f ca="1">SUMPRODUCT((Input!$L$3:$L$1000=H$2)*(Input!$O$3:$O$1000=$B14)*(Input!$V$3:$V$1000))</f>
        <v>0</v>
      </c>
      <c r="I14" s="14">
        <f ca="1">SUMPRODUCT((Input!$L$3:$L$1000=I$2)*(Input!$O$3:$O$1000=$B14)*(Input!$V$3:$V$1000))</f>
        <v>0</v>
      </c>
      <c r="J14" s="14">
        <f ca="1">SUMPRODUCT((Input!$L$3:$L$1000=J$2)*(Input!$O$3:$O$1000=$B14)*(Input!$V$3:$V$1000))</f>
        <v>59</v>
      </c>
      <c r="K14" s="14">
        <f ca="1">SUMPRODUCT((Input!$L$3:$L$1000=K$2)*(Input!$O$3:$O$1000=$B14)*(Input!$V$3:$V$1000))</f>
        <v>0</v>
      </c>
      <c r="L14" s="14">
        <f ca="1">SUMPRODUCT((Input!$L$3:$L$1000=L$2)*(Input!$O$3:$O$1000=$B14)*(Input!$V$3:$V$1000))</f>
        <v>0</v>
      </c>
      <c r="M14" s="14">
        <f ca="1">SUMPRODUCT((Input!$L$3:$L$1000=M$2)*(Input!$O$3:$O$1000=$B14)*(Input!$V$3:$V$1000))</f>
        <v>0</v>
      </c>
      <c r="N14" s="14">
        <f ca="1">SUMPRODUCT((Input!$L$3:$L$1000=N$2)*(Input!$O$3:$O$1000=$B14)*(Input!$V$3:$V$1000))</f>
        <v>0</v>
      </c>
      <c r="O14" s="14">
        <f ca="1">SUMPRODUCT((Input!$L$3:$L$1000=O$2)*(Input!$O$3:$O$1000=$B14)*(Input!$V$3:$V$1000))</f>
        <v>0</v>
      </c>
      <c r="P14" s="14"/>
    </row>
    <row r="15" spans="1:16" x14ac:dyDescent="0.2">
      <c r="A15" s="12">
        <f t="shared" ca="1" si="0"/>
        <v>12</v>
      </c>
      <c r="B15" s="13" t="s">
        <v>15</v>
      </c>
      <c r="C15" s="14">
        <f t="array" aca="1" ref="C15" ca="1">SUM(LARGE(E15:P15,{1,2,3,4,5,6}))</f>
        <v>115</v>
      </c>
      <c r="D15" s="14">
        <f t="shared" ca="1" si="1"/>
        <v>2</v>
      </c>
      <c r="E15" s="14">
        <f ca="1">SUMPRODUCT((Input!$L$3:$L$1000=E$2)*(Input!$O$3:$O$1000=$B15)*(Input!$V$3:$V$1000))</f>
        <v>0</v>
      </c>
      <c r="F15" s="14">
        <f ca="1">SUMPRODUCT((Input!$L$3:$L$1000=F$2)*(Input!$O$3:$O$1000=$B15)*(Input!$V$3:$V$1000))</f>
        <v>59</v>
      </c>
      <c r="G15" s="14">
        <f ca="1">SUMPRODUCT((Input!$L$3:$L$1000=G$2)*(Input!$O$3:$O$1000=$B15)*(Input!$V$3:$V$1000))</f>
        <v>0</v>
      </c>
      <c r="H15" s="14">
        <f ca="1">SUMPRODUCT((Input!$L$3:$L$1000=H$2)*(Input!$O$3:$O$1000=$B15)*(Input!$V$3:$V$1000))</f>
        <v>56</v>
      </c>
      <c r="I15" s="14">
        <f ca="1">SUMPRODUCT((Input!$L$3:$L$1000=I$2)*(Input!$O$3:$O$1000=$B15)*(Input!$V$3:$V$1000))</f>
        <v>0</v>
      </c>
      <c r="J15" s="14">
        <f ca="1">SUMPRODUCT((Input!$L$3:$L$1000=J$2)*(Input!$O$3:$O$1000=$B15)*(Input!$V$3:$V$1000))</f>
        <v>0</v>
      </c>
      <c r="K15" s="14">
        <f ca="1">SUMPRODUCT((Input!$L$3:$L$1000=K$2)*(Input!$O$3:$O$1000=$B15)*(Input!$V$3:$V$1000))</f>
        <v>0</v>
      </c>
      <c r="L15" s="14">
        <f ca="1">SUMPRODUCT((Input!$L$3:$L$1000=L$2)*(Input!$O$3:$O$1000=$B15)*(Input!$V$3:$V$1000))</f>
        <v>0</v>
      </c>
      <c r="M15" s="14">
        <f ca="1">SUMPRODUCT((Input!$L$3:$L$1000=M$2)*(Input!$O$3:$O$1000=$B15)*(Input!$V$3:$V$1000))</f>
        <v>0</v>
      </c>
      <c r="N15" s="14">
        <f ca="1">SUMPRODUCT((Input!$L$3:$L$1000=N$2)*(Input!$O$3:$O$1000=$B15)*(Input!$V$3:$V$1000))</f>
        <v>0</v>
      </c>
      <c r="O15" s="14">
        <f ca="1">SUMPRODUCT((Input!$L$3:$L$1000=O$2)*(Input!$O$3:$O$1000=$B15)*(Input!$V$3:$V$1000))</f>
        <v>0</v>
      </c>
      <c r="P15" s="14"/>
    </row>
    <row r="16" spans="1:16" x14ac:dyDescent="0.2">
      <c r="A16" s="12">
        <f t="shared" ca="1" si="0"/>
        <v>13</v>
      </c>
      <c r="B16" s="13" t="s">
        <v>19</v>
      </c>
      <c r="C16" s="14">
        <f t="array" aca="1" ref="C16" ca="1">SUM(LARGE(E16:P16,{1,2,3,4,5,6}))</f>
        <v>114</v>
      </c>
      <c r="D16" s="14">
        <f t="shared" ca="1" si="1"/>
        <v>2</v>
      </c>
      <c r="E16" s="14">
        <f ca="1">SUMPRODUCT((Input!$L$3:$L$1000=E$2)*(Input!$O$3:$O$1000=$B16)*(Input!$V$3:$V$1000))</f>
        <v>0</v>
      </c>
      <c r="F16" s="14">
        <f ca="1">SUMPRODUCT((Input!$L$3:$L$1000=F$2)*(Input!$O$3:$O$1000=$B16)*(Input!$V$3:$V$1000))</f>
        <v>0</v>
      </c>
      <c r="G16" s="14">
        <f ca="1">SUMPRODUCT((Input!$L$3:$L$1000=G$2)*(Input!$O$3:$O$1000=$B16)*(Input!$V$3:$V$1000))</f>
        <v>54</v>
      </c>
      <c r="H16" s="14">
        <f ca="1">SUMPRODUCT((Input!$L$3:$L$1000=H$2)*(Input!$O$3:$O$1000=$B16)*(Input!$V$3:$V$1000))</f>
        <v>0</v>
      </c>
      <c r="I16" s="14">
        <f ca="1">SUMPRODUCT((Input!$L$3:$L$1000=I$2)*(Input!$O$3:$O$1000=$B16)*(Input!$V$3:$V$1000))</f>
        <v>0</v>
      </c>
      <c r="J16" s="14">
        <f ca="1">SUMPRODUCT((Input!$L$3:$L$1000=J$2)*(Input!$O$3:$O$1000=$B16)*(Input!$V$3:$V$1000))</f>
        <v>60</v>
      </c>
      <c r="K16" s="14">
        <f ca="1">SUMPRODUCT((Input!$L$3:$L$1000=K$2)*(Input!$O$3:$O$1000=$B16)*(Input!$V$3:$V$1000))</f>
        <v>0</v>
      </c>
      <c r="L16" s="14">
        <f ca="1">SUMPRODUCT((Input!$L$3:$L$1000=L$2)*(Input!$O$3:$O$1000=$B16)*(Input!$V$3:$V$1000))</f>
        <v>0</v>
      </c>
      <c r="M16" s="14">
        <f ca="1">SUMPRODUCT((Input!$L$3:$L$1000=M$2)*(Input!$O$3:$O$1000=$B16)*(Input!$V$3:$V$1000))</f>
        <v>0</v>
      </c>
      <c r="N16" s="14">
        <f ca="1">SUMPRODUCT((Input!$L$3:$L$1000=N$2)*(Input!$O$3:$O$1000=$B16)*(Input!$V$3:$V$1000))</f>
        <v>0</v>
      </c>
      <c r="O16" s="14">
        <f ca="1">SUMPRODUCT((Input!$L$3:$L$1000=O$2)*(Input!$O$3:$O$1000=$B16)*(Input!$V$3:$V$1000))</f>
        <v>0</v>
      </c>
      <c r="P16" s="14"/>
    </row>
    <row r="17" spans="1:16" x14ac:dyDescent="0.2">
      <c r="A17" s="12">
        <f t="shared" ca="1" si="0"/>
        <v>14</v>
      </c>
      <c r="B17" s="13" t="s">
        <v>16</v>
      </c>
      <c r="C17" s="14">
        <f t="array" aca="1" ref="C17" ca="1">SUM(LARGE(E17:P17,{1,2,3,4,5,6}))</f>
        <v>104</v>
      </c>
      <c r="D17" s="14">
        <f t="shared" ca="1" si="1"/>
        <v>2</v>
      </c>
      <c r="E17" s="14">
        <f ca="1">SUMPRODUCT((Input!$L$3:$L$1000=E$2)*(Input!$O$3:$O$1000=$B17)*(Input!$V$3:$V$1000))</f>
        <v>0</v>
      </c>
      <c r="F17" s="14">
        <f ca="1">SUMPRODUCT((Input!$L$3:$L$1000=F$2)*(Input!$O$3:$O$1000=$B17)*(Input!$V$3:$V$1000))</f>
        <v>0</v>
      </c>
      <c r="G17" s="14">
        <f ca="1">SUMPRODUCT((Input!$L$3:$L$1000=G$2)*(Input!$O$3:$O$1000=$B17)*(Input!$V$3:$V$1000))</f>
        <v>47</v>
      </c>
      <c r="H17" s="14">
        <f ca="1">SUMPRODUCT((Input!$L$3:$L$1000=H$2)*(Input!$O$3:$O$1000=$B17)*(Input!$V$3:$V$1000))</f>
        <v>0</v>
      </c>
      <c r="I17" s="14">
        <f ca="1">SUMPRODUCT((Input!$L$3:$L$1000=I$2)*(Input!$O$3:$O$1000=$B17)*(Input!$V$3:$V$1000))</f>
        <v>0</v>
      </c>
      <c r="J17" s="14">
        <f ca="1">SUMPRODUCT((Input!$L$3:$L$1000=J$2)*(Input!$O$3:$O$1000=$B17)*(Input!$V$3:$V$1000))</f>
        <v>0</v>
      </c>
      <c r="K17" s="14">
        <f ca="1">SUMPRODUCT((Input!$L$3:$L$1000=K$2)*(Input!$O$3:$O$1000=$B17)*(Input!$V$3:$V$1000))</f>
        <v>0</v>
      </c>
      <c r="L17" s="14">
        <f ca="1">SUMPRODUCT((Input!$L$3:$L$1000=L$2)*(Input!$O$3:$O$1000=$B17)*(Input!$V$3:$V$1000))</f>
        <v>0</v>
      </c>
      <c r="M17" s="14">
        <f ca="1">SUMPRODUCT((Input!$L$3:$L$1000=M$2)*(Input!$O$3:$O$1000=$B17)*(Input!$V$3:$V$1000))</f>
        <v>57</v>
      </c>
      <c r="N17" s="14">
        <f ca="1">SUMPRODUCT((Input!$L$3:$L$1000=N$2)*(Input!$O$3:$O$1000=$B17)*(Input!$V$3:$V$1000))</f>
        <v>0</v>
      </c>
      <c r="O17" s="14">
        <f ca="1">SUMPRODUCT((Input!$L$3:$L$1000=O$2)*(Input!$O$3:$O$1000=$B17)*(Input!$V$3:$V$1000))</f>
        <v>0</v>
      </c>
      <c r="P17" s="14"/>
    </row>
    <row r="18" spans="1:16" x14ac:dyDescent="0.2">
      <c r="A18" s="12">
        <f t="shared" ca="1" si="0"/>
        <v>15</v>
      </c>
      <c r="B18" s="13" t="s">
        <v>20</v>
      </c>
      <c r="C18" s="14">
        <f t="array" aca="1" ref="C18" ca="1">SUM(LARGE(E18:P18,{1,2,3,4,5,6}))</f>
        <v>100</v>
      </c>
      <c r="D18" s="14">
        <f t="shared" ca="1" si="1"/>
        <v>2</v>
      </c>
      <c r="E18" s="14">
        <f ca="1">SUMPRODUCT((Input!$L$3:$L$1000=E$2)*(Input!$O$3:$O$1000=$B18)*(Input!$V$3:$V$1000))</f>
        <v>0</v>
      </c>
      <c r="F18" s="14">
        <f ca="1">SUMPRODUCT((Input!$L$3:$L$1000=F$2)*(Input!$O$3:$O$1000=$B18)*(Input!$V$3:$V$1000))</f>
        <v>0</v>
      </c>
      <c r="G18" s="14">
        <f ca="1">SUMPRODUCT((Input!$L$3:$L$1000=G$2)*(Input!$O$3:$O$1000=$B18)*(Input!$V$3:$V$1000))</f>
        <v>46</v>
      </c>
      <c r="H18" s="14">
        <f ca="1">SUMPRODUCT((Input!$L$3:$L$1000=H$2)*(Input!$O$3:$O$1000=$B18)*(Input!$V$3:$V$1000))</f>
        <v>0</v>
      </c>
      <c r="I18" s="14">
        <f ca="1">SUMPRODUCT((Input!$L$3:$L$1000=I$2)*(Input!$O$3:$O$1000=$B18)*(Input!$V$3:$V$1000))</f>
        <v>0</v>
      </c>
      <c r="J18" s="14">
        <f ca="1">SUMPRODUCT((Input!$L$3:$L$1000=J$2)*(Input!$O$3:$O$1000=$B18)*(Input!$V$3:$V$1000))</f>
        <v>54</v>
      </c>
      <c r="K18" s="14">
        <f ca="1">SUMPRODUCT((Input!$L$3:$L$1000=K$2)*(Input!$O$3:$O$1000=$B18)*(Input!$V$3:$V$1000))</f>
        <v>0</v>
      </c>
      <c r="L18" s="14">
        <f ca="1">SUMPRODUCT((Input!$L$3:$L$1000=L$2)*(Input!$O$3:$O$1000=$B18)*(Input!$V$3:$V$1000))</f>
        <v>0</v>
      </c>
      <c r="M18" s="14">
        <f ca="1">SUMPRODUCT((Input!$L$3:$L$1000=M$2)*(Input!$O$3:$O$1000=$B18)*(Input!$V$3:$V$1000))</f>
        <v>0</v>
      </c>
      <c r="N18" s="14">
        <f ca="1">SUMPRODUCT((Input!$L$3:$L$1000=N$2)*(Input!$O$3:$O$1000=$B18)*(Input!$V$3:$V$1000))</f>
        <v>0</v>
      </c>
      <c r="O18" s="14">
        <f ca="1">SUMPRODUCT((Input!$L$3:$L$1000=O$2)*(Input!$O$3:$O$1000=$B18)*(Input!$V$3:$V$1000))</f>
        <v>0</v>
      </c>
      <c r="P18" s="14"/>
    </row>
    <row r="19" spans="1:16" x14ac:dyDescent="0.2">
      <c r="A19" s="12">
        <f t="shared" ca="1" si="0"/>
        <v>16</v>
      </c>
      <c r="B19" s="13" t="s">
        <v>21</v>
      </c>
      <c r="C19" s="14">
        <f t="array" aca="1" ref="C19" ca="1">SUM(LARGE(E19:P19,{1,2,3,4,5,6}))</f>
        <v>97</v>
      </c>
      <c r="D19" s="14">
        <f t="shared" ca="1" si="1"/>
        <v>2</v>
      </c>
      <c r="E19" s="14">
        <f ca="1">SUMPRODUCT((Input!$L$3:$L$1000=E$2)*(Input!$O$3:$O$1000=$B19)*(Input!$V$3:$V$1000))</f>
        <v>0</v>
      </c>
      <c r="F19" s="14">
        <f ca="1">SUMPRODUCT((Input!$L$3:$L$1000=F$2)*(Input!$O$3:$O$1000=$B19)*(Input!$V$3:$V$1000))</f>
        <v>0</v>
      </c>
      <c r="G19" s="14">
        <f ca="1">SUMPRODUCT((Input!$L$3:$L$1000=G$2)*(Input!$O$3:$O$1000=$B19)*(Input!$V$3:$V$1000))</f>
        <v>44</v>
      </c>
      <c r="H19" s="14">
        <f ca="1">SUMPRODUCT((Input!$L$3:$L$1000=H$2)*(Input!$O$3:$O$1000=$B19)*(Input!$V$3:$V$1000))</f>
        <v>0</v>
      </c>
      <c r="I19" s="14">
        <f ca="1">SUMPRODUCT((Input!$L$3:$L$1000=I$2)*(Input!$O$3:$O$1000=$B19)*(Input!$V$3:$V$1000))</f>
        <v>0</v>
      </c>
      <c r="J19" s="14">
        <f ca="1">SUMPRODUCT((Input!$L$3:$L$1000=J$2)*(Input!$O$3:$O$1000=$B19)*(Input!$V$3:$V$1000))</f>
        <v>53</v>
      </c>
      <c r="K19" s="14">
        <f ca="1">SUMPRODUCT((Input!$L$3:$L$1000=K$2)*(Input!$O$3:$O$1000=$B19)*(Input!$V$3:$V$1000))</f>
        <v>0</v>
      </c>
      <c r="L19" s="14">
        <f ca="1">SUMPRODUCT((Input!$L$3:$L$1000=L$2)*(Input!$O$3:$O$1000=$B19)*(Input!$V$3:$V$1000))</f>
        <v>0</v>
      </c>
      <c r="M19" s="14">
        <f ca="1">SUMPRODUCT((Input!$L$3:$L$1000=M$2)*(Input!$O$3:$O$1000=$B19)*(Input!$V$3:$V$1000))</f>
        <v>0</v>
      </c>
      <c r="N19" s="14">
        <f ca="1">SUMPRODUCT((Input!$L$3:$L$1000=N$2)*(Input!$O$3:$O$1000=$B19)*(Input!$V$3:$V$1000))</f>
        <v>0</v>
      </c>
      <c r="O19" s="14">
        <f ca="1">SUMPRODUCT((Input!$L$3:$L$1000=O$2)*(Input!$O$3:$O$1000=$B19)*(Input!$V$3:$V$1000))</f>
        <v>0</v>
      </c>
      <c r="P19" s="14"/>
    </row>
    <row r="20" spans="1:16" x14ac:dyDescent="0.2">
      <c r="A20" s="12">
        <f t="shared" ca="1" si="0"/>
        <v>17</v>
      </c>
      <c r="B20" s="13" t="s">
        <v>23</v>
      </c>
      <c r="C20" s="14">
        <f t="array" aca="1" ref="C20" ca="1">SUM(LARGE(E20:P20,{1,2,3,4,5,6}))</f>
        <v>59</v>
      </c>
      <c r="D20" s="14">
        <f t="shared" ca="1" si="1"/>
        <v>1</v>
      </c>
      <c r="E20" s="14">
        <f ca="1">SUMPRODUCT((Input!$L$3:$L$1000=E$2)*(Input!$O$3:$O$1000=$B20)*(Input!$V$3:$V$1000))</f>
        <v>0</v>
      </c>
      <c r="F20" s="14">
        <f ca="1">SUMPRODUCT((Input!$L$3:$L$1000=F$2)*(Input!$O$3:$O$1000=$B20)*(Input!$V$3:$V$1000))</f>
        <v>0</v>
      </c>
      <c r="G20" s="14">
        <f ca="1">SUMPRODUCT((Input!$L$3:$L$1000=G$2)*(Input!$O$3:$O$1000=$B20)*(Input!$V$3:$V$1000))</f>
        <v>59</v>
      </c>
      <c r="H20" s="14">
        <f ca="1">SUMPRODUCT((Input!$L$3:$L$1000=H$2)*(Input!$O$3:$O$1000=$B20)*(Input!$V$3:$V$1000))</f>
        <v>0</v>
      </c>
      <c r="I20" s="14">
        <f ca="1">SUMPRODUCT((Input!$L$3:$L$1000=I$2)*(Input!$O$3:$O$1000=$B20)*(Input!$V$3:$V$1000))</f>
        <v>0</v>
      </c>
      <c r="J20" s="14">
        <f ca="1">SUMPRODUCT((Input!$L$3:$L$1000=J$2)*(Input!$O$3:$O$1000=$B20)*(Input!$V$3:$V$1000))</f>
        <v>0</v>
      </c>
      <c r="K20" s="14">
        <f ca="1">SUMPRODUCT((Input!$L$3:$L$1000=K$2)*(Input!$O$3:$O$1000=$B20)*(Input!$V$3:$V$1000))</f>
        <v>0</v>
      </c>
      <c r="L20" s="14">
        <f ca="1">SUMPRODUCT((Input!$L$3:$L$1000=L$2)*(Input!$O$3:$O$1000=$B20)*(Input!$V$3:$V$1000))</f>
        <v>0</v>
      </c>
      <c r="M20" s="14">
        <f ca="1">SUMPRODUCT((Input!$L$3:$L$1000=M$2)*(Input!$O$3:$O$1000=$B20)*(Input!$V$3:$V$1000))</f>
        <v>0</v>
      </c>
      <c r="N20" s="14">
        <f ca="1">SUMPRODUCT((Input!$L$3:$L$1000=N$2)*(Input!$O$3:$O$1000=$B20)*(Input!$V$3:$V$1000))</f>
        <v>0</v>
      </c>
      <c r="O20" s="14">
        <f ca="1">SUMPRODUCT((Input!$L$3:$L$1000=O$2)*(Input!$O$3:$O$1000=$B20)*(Input!$V$3:$V$1000))</f>
        <v>0</v>
      </c>
      <c r="P20" s="14"/>
    </row>
    <row r="21" spans="1:16" x14ac:dyDescent="0.2">
      <c r="A21" s="12">
        <f t="shared" ca="1" si="0"/>
        <v>18</v>
      </c>
      <c r="B21" s="13" t="s">
        <v>22</v>
      </c>
      <c r="C21" s="14">
        <f t="array" aca="1" ref="C21" ca="1">SUM(LARGE(E21:P21,{1,2,3,4,5,6}))</f>
        <v>57</v>
      </c>
      <c r="D21" s="14">
        <f t="shared" ca="1" si="1"/>
        <v>1</v>
      </c>
      <c r="E21" s="14">
        <f ca="1">SUMPRODUCT((Input!$L$3:$L$1000=E$2)*(Input!$O$3:$O$1000=$B21)*(Input!$V$3:$V$1000))</f>
        <v>0</v>
      </c>
      <c r="F21" s="14">
        <f ca="1">SUMPRODUCT((Input!$L$3:$L$1000=F$2)*(Input!$O$3:$O$1000=$B21)*(Input!$V$3:$V$1000))</f>
        <v>0</v>
      </c>
      <c r="G21" s="14">
        <f ca="1">SUMPRODUCT((Input!$L$3:$L$1000=G$2)*(Input!$O$3:$O$1000=$B21)*(Input!$V$3:$V$1000))</f>
        <v>0</v>
      </c>
      <c r="H21" s="14">
        <f ca="1">SUMPRODUCT((Input!$L$3:$L$1000=H$2)*(Input!$O$3:$O$1000=$B21)*(Input!$V$3:$V$1000))</f>
        <v>0</v>
      </c>
      <c r="I21" s="14">
        <f ca="1">SUMPRODUCT((Input!$L$3:$L$1000=I$2)*(Input!$O$3:$O$1000=$B21)*(Input!$V$3:$V$1000))</f>
        <v>0</v>
      </c>
      <c r="J21" s="14">
        <f ca="1">SUMPRODUCT((Input!$L$3:$L$1000=J$2)*(Input!$O$3:$O$1000=$B21)*(Input!$V$3:$V$1000))</f>
        <v>57</v>
      </c>
      <c r="K21" s="14">
        <f ca="1">SUMPRODUCT((Input!$L$3:$L$1000=K$2)*(Input!$O$3:$O$1000=$B21)*(Input!$V$3:$V$1000))</f>
        <v>0</v>
      </c>
      <c r="L21" s="14">
        <f ca="1">SUMPRODUCT((Input!$L$3:$L$1000=L$2)*(Input!$O$3:$O$1000=$B21)*(Input!$V$3:$V$1000))</f>
        <v>0</v>
      </c>
      <c r="M21" s="14">
        <f ca="1">SUMPRODUCT((Input!$L$3:$L$1000=M$2)*(Input!$O$3:$O$1000=$B21)*(Input!$V$3:$V$1000))</f>
        <v>0</v>
      </c>
      <c r="N21" s="14">
        <f ca="1">SUMPRODUCT((Input!$L$3:$L$1000=N$2)*(Input!$O$3:$O$1000=$B21)*(Input!$V$3:$V$1000))</f>
        <v>0</v>
      </c>
      <c r="O21" s="14">
        <f ca="1">SUMPRODUCT((Input!$L$3:$L$1000=O$2)*(Input!$O$3:$O$1000=$B21)*(Input!$V$3:$V$1000))</f>
        <v>0</v>
      </c>
      <c r="P21" s="14"/>
    </row>
    <row r="22" spans="1:16" x14ac:dyDescent="0.2">
      <c r="A22" s="12">
        <f t="shared" ca="1" si="0"/>
        <v>18</v>
      </c>
      <c r="B22" s="13" t="s">
        <v>24</v>
      </c>
      <c r="C22" s="14">
        <f t="array" aca="1" ref="C22" ca="1">SUM(LARGE(E22:P22,{1,2,3,4,5,6}))</f>
        <v>57</v>
      </c>
      <c r="D22" s="14">
        <f t="shared" ca="1" si="1"/>
        <v>1</v>
      </c>
      <c r="E22" s="14">
        <f ca="1">SUMPRODUCT((Input!$L$3:$L$1000=E$2)*(Input!$O$3:$O$1000=$B22)*(Input!$V$3:$V$1000))</f>
        <v>0</v>
      </c>
      <c r="F22" s="14">
        <f ca="1">SUMPRODUCT((Input!$L$3:$L$1000=F$2)*(Input!$O$3:$O$1000=$B22)*(Input!$V$3:$V$1000))</f>
        <v>0</v>
      </c>
      <c r="G22" s="14">
        <f ca="1">SUMPRODUCT((Input!$L$3:$L$1000=G$2)*(Input!$O$3:$O$1000=$B22)*(Input!$V$3:$V$1000))</f>
        <v>0</v>
      </c>
      <c r="H22" s="14">
        <f ca="1">SUMPRODUCT((Input!$L$3:$L$1000=H$2)*(Input!$O$3:$O$1000=$B22)*(Input!$V$3:$V$1000))</f>
        <v>0</v>
      </c>
      <c r="I22" s="14">
        <f ca="1">SUMPRODUCT((Input!$L$3:$L$1000=I$2)*(Input!$O$3:$O$1000=$B22)*(Input!$V$3:$V$1000))</f>
        <v>0</v>
      </c>
      <c r="J22" s="14">
        <f ca="1">SUMPRODUCT((Input!$L$3:$L$1000=J$2)*(Input!$O$3:$O$1000=$B22)*(Input!$V$3:$V$1000))</f>
        <v>0</v>
      </c>
      <c r="K22" s="14">
        <f ca="1">SUMPRODUCT((Input!$L$3:$L$1000=K$2)*(Input!$O$3:$O$1000=$B22)*(Input!$V$3:$V$1000))</f>
        <v>57</v>
      </c>
      <c r="L22" s="14">
        <f ca="1">SUMPRODUCT((Input!$L$3:$L$1000=L$2)*(Input!$O$3:$O$1000=$B22)*(Input!$V$3:$V$1000))</f>
        <v>0</v>
      </c>
      <c r="M22" s="14">
        <f ca="1">SUMPRODUCT((Input!$L$3:$L$1000=M$2)*(Input!$O$3:$O$1000=$B22)*(Input!$V$3:$V$1000))</f>
        <v>0</v>
      </c>
      <c r="N22" s="14">
        <f ca="1">SUMPRODUCT((Input!$L$3:$L$1000=N$2)*(Input!$O$3:$O$1000=$B22)*(Input!$V$3:$V$1000))</f>
        <v>0</v>
      </c>
      <c r="O22" s="14">
        <f ca="1">SUMPRODUCT((Input!$L$3:$L$1000=O$2)*(Input!$O$3:$O$1000=$B22)*(Input!$V$3:$V$1000))</f>
        <v>0</v>
      </c>
      <c r="P22" s="14"/>
    </row>
    <row r="23" spans="1:16" x14ac:dyDescent="0.2">
      <c r="A23" s="12">
        <f t="shared" ca="1" si="0"/>
        <v>20</v>
      </c>
      <c r="B23" s="13" t="s">
        <v>28</v>
      </c>
      <c r="C23" s="14">
        <f t="array" aca="1" ref="C23" ca="1">SUM(LARGE(E23:P23,{1,2,3,4,5,6}))</f>
        <v>56</v>
      </c>
      <c r="D23" s="14">
        <f t="shared" ca="1" si="1"/>
        <v>1</v>
      </c>
      <c r="E23" s="14">
        <f ca="1">SUMPRODUCT((Input!$L$3:$L$1000=E$2)*(Input!$O$3:$O$1000=$B23)*(Input!$V$3:$V$1000))</f>
        <v>0</v>
      </c>
      <c r="F23" s="14">
        <f ca="1">SUMPRODUCT((Input!$L$3:$L$1000=F$2)*(Input!$O$3:$O$1000=$B23)*(Input!$V$3:$V$1000))</f>
        <v>0</v>
      </c>
      <c r="G23" s="14">
        <f ca="1">SUMPRODUCT((Input!$L$3:$L$1000=G$2)*(Input!$O$3:$O$1000=$B23)*(Input!$V$3:$V$1000))</f>
        <v>56</v>
      </c>
      <c r="H23" s="14">
        <f ca="1">SUMPRODUCT((Input!$L$3:$L$1000=H$2)*(Input!$O$3:$O$1000=$B23)*(Input!$V$3:$V$1000))</f>
        <v>0</v>
      </c>
      <c r="I23" s="14">
        <f ca="1">SUMPRODUCT((Input!$L$3:$L$1000=I$2)*(Input!$O$3:$O$1000=$B23)*(Input!$V$3:$V$1000))</f>
        <v>0</v>
      </c>
      <c r="J23" s="14">
        <f ca="1">SUMPRODUCT((Input!$L$3:$L$1000=J$2)*(Input!$O$3:$O$1000=$B23)*(Input!$V$3:$V$1000))</f>
        <v>0</v>
      </c>
      <c r="K23" s="14">
        <f ca="1">SUMPRODUCT((Input!$L$3:$L$1000=K$2)*(Input!$O$3:$O$1000=$B23)*(Input!$V$3:$V$1000))</f>
        <v>0</v>
      </c>
      <c r="L23" s="14">
        <f ca="1">SUMPRODUCT((Input!$L$3:$L$1000=L$2)*(Input!$O$3:$O$1000=$B23)*(Input!$V$3:$V$1000))</f>
        <v>0</v>
      </c>
      <c r="M23" s="14">
        <f ca="1">SUMPRODUCT((Input!$L$3:$L$1000=M$2)*(Input!$O$3:$O$1000=$B23)*(Input!$V$3:$V$1000))</f>
        <v>0</v>
      </c>
      <c r="N23" s="14">
        <f ca="1">SUMPRODUCT((Input!$L$3:$L$1000=N$2)*(Input!$O$3:$O$1000=$B23)*(Input!$V$3:$V$1000))</f>
        <v>0</v>
      </c>
      <c r="O23" s="14">
        <f ca="1">SUMPRODUCT((Input!$L$3:$L$1000=O$2)*(Input!$O$3:$O$1000=$B23)*(Input!$V$3:$V$1000))</f>
        <v>0</v>
      </c>
      <c r="P23" s="14"/>
    </row>
    <row r="24" spans="1:16" x14ac:dyDescent="0.2">
      <c r="A24" s="12">
        <f t="shared" ca="1" si="0"/>
        <v>20</v>
      </c>
      <c r="B24" s="13" t="s">
        <v>29</v>
      </c>
      <c r="C24" s="14">
        <f t="array" aca="1" ref="C24" ca="1">SUM(LARGE(E24:P24,{1,2,3,4,5,6}))</f>
        <v>56</v>
      </c>
      <c r="D24" s="14">
        <f t="shared" ca="1" si="1"/>
        <v>1</v>
      </c>
      <c r="E24" s="14">
        <f ca="1">SUMPRODUCT((Input!$L$3:$L$1000=E$2)*(Input!$O$3:$O$1000=$B24)*(Input!$V$3:$V$1000))</f>
        <v>0</v>
      </c>
      <c r="F24" s="14">
        <f ca="1">SUMPRODUCT((Input!$L$3:$L$1000=F$2)*(Input!$O$3:$O$1000=$B24)*(Input!$V$3:$V$1000))</f>
        <v>0</v>
      </c>
      <c r="G24" s="14">
        <f ca="1">SUMPRODUCT((Input!$L$3:$L$1000=G$2)*(Input!$O$3:$O$1000=$B24)*(Input!$V$3:$V$1000))</f>
        <v>56</v>
      </c>
      <c r="H24" s="14">
        <f ca="1">SUMPRODUCT((Input!$L$3:$L$1000=H$2)*(Input!$O$3:$O$1000=$B24)*(Input!$V$3:$V$1000))</f>
        <v>0</v>
      </c>
      <c r="I24" s="14">
        <f ca="1">SUMPRODUCT((Input!$L$3:$L$1000=I$2)*(Input!$O$3:$O$1000=$B24)*(Input!$V$3:$V$1000))</f>
        <v>0</v>
      </c>
      <c r="J24" s="14">
        <f ca="1">SUMPRODUCT((Input!$L$3:$L$1000=J$2)*(Input!$O$3:$O$1000=$B24)*(Input!$V$3:$V$1000))</f>
        <v>0</v>
      </c>
      <c r="K24" s="14">
        <f ca="1">SUMPRODUCT((Input!$L$3:$L$1000=K$2)*(Input!$O$3:$O$1000=$B24)*(Input!$V$3:$V$1000))</f>
        <v>0</v>
      </c>
      <c r="L24" s="14">
        <f ca="1">SUMPRODUCT((Input!$L$3:$L$1000=L$2)*(Input!$O$3:$O$1000=$B24)*(Input!$V$3:$V$1000))</f>
        <v>0</v>
      </c>
      <c r="M24" s="14">
        <f ca="1">SUMPRODUCT((Input!$L$3:$L$1000=M$2)*(Input!$O$3:$O$1000=$B24)*(Input!$V$3:$V$1000))</f>
        <v>0</v>
      </c>
      <c r="N24" s="14">
        <f ca="1">SUMPRODUCT((Input!$L$3:$L$1000=N$2)*(Input!$O$3:$O$1000=$B24)*(Input!$V$3:$V$1000))</f>
        <v>0</v>
      </c>
      <c r="O24" s="14">
        <f ca="1">SUMPRODUCT((Input!$L$3:$L$1000=O$2)*(Input!$O$3:$O$1000=$B24)*(Input!$V$3:$V$1000))</f>
        <v>0</v>
      </c>
      <c r="P24" s="14"/>
    </row>
    <row r="25" spans="1:16" x14ac:dyDescent="0.2">
      <c r="A25" s="12">
        <f t="shared" ca="1" si="0"/>
        <v>22</v>
      </c>
      <c r="B25" s="13" t="s">
        <v>31</v>
      </c>
      <c r="C25" s="14">
        <f t="array" aca="1" ref="C25" ca="1">SUM(LARGE(E25:P25,{1,2,3,4,5,6}))</f>
        <v>54</v>
      </c>
      <c r="D25" s="14">
        <f t="shared" ca="1" si="1"/>
        <v>1</v>
      </c>
      <c r="E25" s="14">
        <f ca="1">SUMPRODUCT((Input!$L$3:$L$1000=E$2)*(Input!$O$3:$O$1000=$B25)*(Input!$V$3:$V$1000))</f>
        <v>0</v>
      </c>
      <c r="F25" s="14">
        <f ca="1">SUMPRODUCT((Input!$L$3:$L$1000=F$2)*(Input!$O$3:$O$1000=$B25)*(Input!$V$3:$V$1000))</f>
        <v>0</v>
      </c>
      <c r="G25" s="14">
        <f ca="1">SUMPRODUCT((Input!$L$3:$L$1000=G$2)*(Input!$O$3:$O$1000=$B25)*(Input!$V$3:$V$1000))</f>
        <v>54</v>
      </c>
      <c r="H25" s="14">
        <f ca="1">SUMPRODUCT((Input!$L$3:$L$1000=H$2)*(Input!$O$3:$O$1000=$B25)*(Input!$V$3:$V$1000))</f>
        <v>0</v>
      </c>
      <c r="I25" s="14">
        <f ca="1">SUMPRODUCT((Input!$L$3:$L$1000=I$2)*(Input!$O$3:$O$1000=$B25)*(Input!$V$3:$V$1000))</f>
        <v>0</v>
      </c>
      <c r="J25" s="14">
        <f ca="1">SUMPRODUCT((Input!$L$3:$L$1000=J$2)*(Input!$O$3:$O$1000=$B25)*(Input!$V$3:$V$1000))</f>
        <v>0</v>
      </c>
      <c r="K25" s="14">
        <f ca="1">SUMPRODUCT((Input!$L$3:$L$1000=K$2)*(Input!$O$3:$O$1000=$B25)*(Input!$V$3:$V$1000))</f>
        <v>0</v>
      </c>
      <c r="L25" s="14">
        <f ca="1">SUMPRODUCT((Input!$L$3:$L$1000=L$2)*(Input!$O$3:$O$1000=$B25)*(Input!$V$3:$V$1000))</f>
        <v>0</v>
      </c>
      <c r="M25" s="14">
        <f ca="1">SUMPRODUCT((Input!$L$3:$L$1000=M$2)*(Input!$O$3:$O$1000=$B25)*(Input!$V$3:$V$1000))</f>
        <v>0</v>
      </c>
      <c r="N25" s="14">
        <f ca="1">SUMPRODUCT((Input!$L$3:$L$1000=N$2)*(Input!$O$3:$O$1000=$B25)*(Input!$V$3:$V$1000))</f>
        <v>0</v>
      </c>
      <c r="O25" s="14">
        <f ca="1">SUMPRODUCT((Input!$L$3:$L$1000=O$2)*(Input!$O$3:$O$1000=$B25)*(Input!$V$3:$V$1000))</f>
        <v>0</v>
      </c>
      <c r="P25" s="14"/>
    </row>
    <row r="26" spans="1:16" x14ac:dyDescent="0.2">
      <c r="A26" s="12">
        <f t="shared" ca="1" si="0"/>
        <v>23</v>
      </c>
      <c r="B26" s="13" t="s">
        <v>26</v>
      </c>
      <c r="C26" s="14">
        <f t="array" aca="1" ref="C26" ca="1">SUM(LARGE(E26:P26,{1,2,3,4,5,6}))</f>
        <v>52</v>
      </c>
      <c r="D26" s="14">
        <f t="shared" ca="1" si="1"/>
        <v>1</v>
      </c>
      <c r="E26" s="14">
        <f ca="1">SUMPRODUCT((Input!$L$3:$L$1000=E$2)*(Input!$O$3:$O$1000=$B26)*(Input!$V$3:$V$1000))</f>
        <v>0</v>
      </c>
      <c r="F26" s="14">
        <f ca="1">SUMPRODUCT((Input!$L$3:$L$1000=F$2)*(Input!$O$3:$O$1000=$B26)*(Input!$V$3:$V$1000))</f>
        <v>0</v>
      </c>
      <c r="G26" s="14">
        <f ca="1">SUMPRODUCT((Input!$L$3:$L$1000=G$2)*(Input!$O$3:$O$1000=$B26)*(Input!$V$3:$V$1000))</f>
        <v>0</v>
      </c>
      <c r="H26" s="14">
        <f ca="1">SUMPRODUCT((Input!$L$3:$L$1000=H$2)*(Input!$O$3:$O$1000=$B26)*(Input!$V$3:$V$1000))</f>
        <v>0</v>
      </c>
      <c r="I26" s="14">
        <f ca="1">SUMPRODUCT((Input!$L$3:$L$1000=I$2)*(Input!$O$3:$O$1000=$B26)*(Input!$V$3:$V$1000))</f>
        <v>0</v>
      </c>
      <c r="J26" s="14">
        <f ca="1">SUMPRODUCT((Input!$L$3:$L$1000=J$2)*(Input!$O$3:$O$1000=$B26)*(Input!$V$3:$V$1000))</f>
        <v>52</v>
      </c>
      <c r="K26" s="14">
        <f ca="1">SUMPRODUCT((Input!$L$3:$L$1000=K$2)*(Input!$O$3:$O$1000=$B26)*(Input!$V$3:$V$1000))</f>
        <v>0</v>
      </c>
      <c r="L26" s="14">
        <f ca="1">SUMPRODUCT((Input!$L$3:$L$1000=L$2)*(Input!$O$3:$O$1000=$B26)*(Input!$V$3:$V$1000))</f>
        <v>0</v>
      </c>
      <c r="M26" s="14">
        <f ca="1">SUMPRODUCT((Input!$L$3:$L$1000=M$2)*(Input!$O$3:$O$1000=$B26)*(Input!$V$3:$V$1000))</f>
        <v>0</v>
      </c>
      <c r="N26" s="14">
        <f ca="1">SUMPRODUCT((Input!$L$3:$L$1000=N$2)*(Input!$O$3:$O$1000=$B26)*(Input!$V$3:$V$1000))</f>
        <v>0</v>
      </c>
      <c r="O26" s="14">
        <f ca="1">SUMPRODUCT((Input!$L$3:$L$1000=O$2)*(Input!$O$3:$O$1000=$B26)*(Input!$V$3:$V$1000))</f>
        <v>0</v>
      </c>
      <c r="P26" s="14"/>
    </row>
    <row r="27" spans="1:16" x14ac:dyDescent="0.2">
      <c r="A27" s="12">
        <f t="shared" ca="1" si="0"/>
        <v>24</v>
      </c>
      <c r="B27" s="13" t="s">
        <v>27</v>
      </c>
      <c r="C27" s="14">
        <f t="array" aca="1" ref="C27" ca="1">SUM(LARGE(E27:P27,{1,2,3,4,5,6}))</f>
        <v>51</v>
      </c>
      <c r="D27" s="14">
        <f t="shared" ca="1" si="1"/>
        <v>1</v>
      </c>
      <c r="E27" s="14">
        <f ca="1">SUMPRODUCT((Input!$L$3:$L$1000=E$2)*(Input!$O$3:$O$1000=$B27)*(Input!$V$3:$V$1000))</f>
        <v>0</v>
      </c>
      <c r="F27" s="14">
        <f ca="1">SUMPRODUCT((Input!$L$3:$L$1000=F$2)*(Input!$O$3:$O$1000=$B27)*(Input!$V$3:$V$1000))</f>
        <v>0</v>
      </c>
      <c r="G27" s="14">
        <f ca="1">SUMPRODUCT((Input!$L$3:$L$1000=G$2)*(Input!$O$3:$O$1000=$B27)*(Input!$V$3:$V$1000))</f>
        <v>0</v>
      </c>
      <c r="H27" s="14">
        <f ca="1">SUMPRODUCT((Input!$L$3:$L$1000=H$2)*(Input!$O$3:$O$1000=$B27)*(Input!$V$3:$V$1000))</f>
        <v>0</v>
      </c>
      <c r="I27" s="14">
        <f ca="1">SUMPRODUCT((Input!$L$3:$L$1000=I$2)*(Input!$O$3:$O$1000=$B27)*(Input!$V$3:$V$1000))</f>
        <v>0</v>
      </c>
      <c r="J27" s="14">
        <f ca="1">SUMPRODUCT((Input!$L$3:$L$1000=J$2)*(Input!$O$3:$O$1000=$B27)*(Input!$V$3:$V$1000))</f>
        <v>51</v>
      </c>
      <c r="K27" s="14">
        <f ca="1">SUMPRODUCT((Input!$L$3:$L$1000=K$2)*(Input!$O$3:$O$1000=$B27)*(Input!$V$3:$V$1000))</f>
        <v>0</v>
      </c>
      <c r="L27" s="14">
        <f ca="1">SUMPRODUCT((Input!$L$3:$L$1000=L$2)*(Input!$O$3:$O$1000=$B27)*(Input!$V$3:$V$1000))</f>
        <v>0</v>
      </c>
      <c r="M27" s="14">
        <f ca="1">SUMPRODUCT((Input!$L$3:$L$1000=M$2)*(Input!$O$3:$O$1000=$B27)*(Input!$V$3:$V$1000))</f>
        <v>0</v>
      </c>
      <c r="N27" s="14">
        <f ca="1">SUMPRODUCT((Input!$L$3:$L$1000=N$2)*(Input!$O$3:$O$1000=$B27)*(Input!$V$3:$V$1000))</f>
        <v>0</v>
      </c>
      <c r="O27" s="14">
        <f ca="1">SUMPRODUCT((Input!$L$3:$L$1000=O$2)*(Input!$O$3:$O$1000=$B27)*(Input!$V$3:$V$1000))</f>
        <v>0</v>
      </c>
      <c r="P27" s="14"/>
    </row>
    <row r="28" spans="1:16" x14ac:dyDescent="0.2">
      <c r="A28" s="12">
        <f t="shared" ca="1" si="0"/>
        <v>25</v>
      </c>
      <c r="B28" s="13" t="s">
        <v>30</v>
      </c>
      <c r="C28" s="14">
        <f t="array" aca="1" ref="C28" ca="1">SUM(LARGE(E28:P28,{1,2,3,4,5,6}))</f>
        <v>48</v>
      </c>
      <c r="D28" s="14">
        <f t="shared" ca="1" si="1"/>
        <v>1</v>
      </c>
      <c r="E28" s="14">
        <f ca="1">SUMPRODUCT((Input!$L$3:$L$1000=E$2)*(Input!$O$3:$O$1000=$B28)*(Input!$V$3:$V$1000))</f>
        <v>0</v>
      </c>
      <c r="F28" s="14">
        <f ca="1">SUMPRODUCT((Input!$L$3:$L$1000=F$2)*(Input!$O$3:$O$1000=$B28)*(Input!$V$3:$V$1000))</f>
        <v>0</v>
      </c>
      <c r="G28" s="14">
        <f ca="1">SUMPRODUCT((Input!$L$3:$L$1000=G$2)*(Input!$O$3:$O$1000=$B28)*(Input!$V$3:$V$1000))</f>
        <v>48</v>
      </c>
      <c r="H28" s="14">
        <f ca="1">SUMPRODUCT((Input!$L$3:$L$1000=H$2)*(Input!$O$3:$O$1000=$B28)*(Input!$V$3:$V$1000))</f>
        <v>0</v>
      </c>
      <c r="I28" s="14">
        <f ca="1">SUMPRODUCT((Input!$L$3:$L$1000=I$2)*(Input!$O$3:$O$1000=$B28)*(Input!$V$3:$V$1000))</f>
        <v>0</v>
      </c>
      <c r="J28" s="14">
        <f ca="1">SUMPRODUCT((Input!$L$3:$L$1000=J$2)*(Input!$O$3:$O$1000=$B28)*(Input!$V$3:$V$1000))</f>
        <v>0</v>
      </c>
      <c r="K28" s="14">
        <f ca="1">SUMPRODUCT((Input!$L$3:$L$1000=K$2)*(Input!$O$3:$O$1000=$B28)*(Input!$V$3:$V$1000))</f>
        <v>0</v>
      </c>
      <c r="L28" s="14">
        <f ca="1">SUMPRODUCT((Input!$L$3:$L$1000=L$2)*(Input!$O$3:$O$1000=$B28)*(Input!$V$3:$V$1000))</f>
        <v>0</v>
      </c>
      <c r="M28" s="14">
        <f ca="1">SUMPRODUCT((Input!$L$3:$L$1000=M$2)*(Input!$O$3:$O$1000=$B28)*(Input!$V$3:$V$1000))</f>
        <v>0</v>
      </c>
      <c r="N28" s="14">
        <f ca="1">SUMPRODUCT((Input!$L$3:$L$1000=N$2)*(Input!$O$3:$O$1000=$B28)*(Input!$V$3:$V$1000))</f>
        <v>0</v>
      </c>
      <c r="O28" s="14">
        <f ca="1">SUMPRODUCT((Input!$L$3:$L$1000=O$2)*(Input!$O$3:$O$1000=$B28)*(Input!$V$3:$V$1000))</f>
        <v>0</v>
      </c>
      <c r="P28" s="14"/>
    </row>
    <row r="29" spans="1:16" x14ac:dyDescent="0.2">
      <c r="A29" s="12">
        <f t="shared" ca="1" si="0"/>
        <v>26</v>
      </c>
      <c r="B29" s="13" t="s">
        <v>25</v>
      </c>
      <c r="C29" s="14">
        <f t="array" aca="1" ref="C29" ca="1">SUM(LARGE(E29:P29,{1,2,3,4,5,6}))</f>
        <v>45</v>
      </c>
      <c r="D29" s="14">
        <f t="shared" ca="1" si="1"/>
        <v>1</v>
      </c>
      <c r="E29" s="14">
        <f ca="1">SUMPRODUCT((Input!$L$3:$L$1000=E$2)*(Input!$O$3:$O$1000=$B29)*(Input!$V$3:$V$1000))</f>
        <v>0</v>
      </c>
      <c r="F29" s="14">
        <f ca="1">SUMPRODUCT((Input!$L$3:$L$1000=F$2)*(Input!$O$3:$O$1000=$B29)*(Input!$V$3:$V$1000))</f>
        <v>0</v>
      </c>
      <c r="G29" s="14">
        <f ca="1">SUMPRODUCT((Input!$L$3:$L$1000=G$2)*(Input!$O$3:$O$1000=$B29)*(Input!$V$3:$V$1000))</f>
        <v>45</v>
      </c>
      <c r="H29" s="14">
        <f ca="1">SUMPRODUCT((Input!$L$3:$L$1000=H$2)*(Input!$O$3:$O$1000=$B29)*(Input!$V$3:$V$1000))</f>
        <v>0</v>
      </c>
      <c r="I29" s="14">
        <f ca="1">SUMPRODUCT((Input!$L$3:$L$1000=I$2)*(Input!$O$3:$O$1000=$B29)*(Input!$V$3:$V$1000))</f>
        <v>0</v>
      </c>
      <c r="J29" s="14">
        <f ca="1">SUMPRODUCT((Input!$L$3:$L$1000=J$2)*(Input!$O$3:$O$1000=$B29)*(Input!$V$3:$V$1000))</f>
        <v>0</v>
      </c>
      <c r="K29" s="14">
        <f ca="1">SUMPRODUCT((Input!$L$3:$L$1000=K$2)*(Input!$O$3:$O$1000=$B29)*(Input!$V$3:$V$1000))</f>
        <v>0</v>
      </c>
      <c r="L29" s="14">
        <f ca="1">SUMPRODUCT((Input!$L$3:$L$1000=L$2)*(Input!$O$3:$O$1000=$B29)*(Input!$V$3:$V$1000))</f>
        <v>0</v>
      </c>
      <c r="M29" s="14">
        <f ca="1">SUMPRODUCT((Input!$L$3:$L$1000=M$2)*(Input!$O$3:$O$1000=$B29)*(Input!$V$3:$V$1000))</f>
        <v>0</v>
      </c>
      <c r="N29" s="14">
        <f ca="1">SUMPRODUCT((Input!$L$3:$L$1000=N$2)*(Input!$O$3:$O$1000=$B29)*(Input!$V$3:$V$1000))</f>
        <v>0</v>
      </c>
      <c r="O29" s="14">
        <f ca="1">SUMPRODUCT((Input!$L$3:$L$1000=O$2)*(Input!$O$3:$O$1000=$B29)*(Input!$V$3:$V$1000))</f>
        <v>0</v>
      </c>
      <c r="P29" s="14"/>
    </row>
    <row r="30" spans="1:16" x14ac:dyDescent="0.2">
      <c r="A30" s="12">
        <f t="shared" ca="1" si="0"/>
        <v>27</v>
      </c>
      <c r="B30" s="13" t="s">
        <v>32</v>
      </c>
      <c r="C30" s="14">
        <f t="array" aca="1" ref="C30" ca="1">SUM(LARGE(E30:P30,{1,2,3,4,5,6}))</f>
        <v>43</v>
      </c>
      <c r="D30" s="14">
        <f t="shared" ca="1" si="1"/>
        <v>1</v>
      </c>
      <c r="E30" s="14">
        <f ca="1">SUMPRODUCT((Input!$L$3:$L$1000=E$2)*(Input!$O$3:$O$1000=$B30)*(Input!$V$3:$V$1000))</f>
        <v>0</v>
      </c>
      <c r="F30" s="14">
        <f ca="1">SUMPRODUCT((Input!$L$3:$L$1000=F$2)*(Input!$O$3:$O$1000=$B30)*(Input!$V$3:$V$1000))</f>
        <v>0</v>
      </c>
      <c r="G30" s="14">
        <f ca="1">SUMPRODUCT((Input!$L$3:$L$1000=G$2)*(Input!$O$3:$O$1000=$B30)*(Input!$V$3:$V$1000))</f>
        <v>43</v>
      </c>
      <c r="H30" s="14">
        <f ca="1">SUMPRODUCT((Input!$L$3:$L$1000=H$2)*(Input!$O$3:$O$1000=$B30)*(Input!$V$3:$V$1000))</f>
        <v>0</v>
      </c>
      <c r="I30" s="14">
        <f ca="1">SUMPRODUCT((Input!$L$3:$L$1000=I$2)*(Input!$O$3:$O$1000=$B30)*(Input!$V$3:$V$1000))</f>
        <v>0</v>
      </c>
      <c r="J30" s="14">
        <f ca="1">SUMPRODUCT((Input!$L$3:$L$1000=J$2)*(Input!$O$3:$O$1000=$B30)*(Input!$V$3:$V$1000))</f>
        <v>0</v>
      </c>
      <c r="K30" s="14">
        <f ca="1">SUMPRODUCT((Input!$L$3:$L$1000=K$2)*(Input!$O$3:$O$1000=$B30)*(Input!$V$3:$V$1000))</f>
        <v>0</v>
      </c>
      <c r="L30" s="14">
        <f ca="1">SUMPRODUCT((Input!$L$3:$L$1000=L$2)*(Input!$O$3:$O$1000=$B30)*(Input!$V$3:$V$1000))</f>
        <v>0</v>
      </c>
      <c r="M30" s="14">
        <f ca="1">SUMPRODUCT((Input!$L$3:$L$1000=M$2)*(Input!$O$3:$O$1000=$B30)*(Input!$V$3:$V$1000))</f>
        <v>0</v>
      </c>
      <c r="N30" s="14">
        <f ca="1">SUMPRODUCT((Input!$L$3:$L$1000=N$2)*(Input!$O$3:$O$1000=$B30)*(Input!$V$3:$V$1000))</f>
        <v>0</v>
      </c>
      <c r="O30" s="14">
        <f ca="1">SUMPRODUCT((Input!$L$3:$L$1000=O$2)*(Input!$O$3:$O$1000=$B30)*(Input!$V$3:$V$1000))</f>
        <v>0</v>
      </c>
      <c r="P30" s="14"/>
    </row>
    <row r="31" spans="1:16" x14ac:dyDescent="0.2">
      <c r="A31" s="12">
        <f t="shared" ca="1" si="0"/>
        <v>28</v>
      </c>
      <c r="B31" s="13"/>
      <c r="C31" s="14">
        <f t="array" aca="1" ref="C31" ca="1">SUM(LARGE(E31:P31,{1,2,3,4,5,6}))</f>
        <v>0</v>
      </c>
      <c r="D31" s="14">
        <f t="shared" ca="1" si="1"/>
        <v>0</v>
      </c>
      <c r="E31" s="14">
        <f ca="1">SUMPRODUCT((Input!$L$3:$L$1000=E$2)*(Input!$O$3:$O$1000=$B31)*(Input!$V$3:$V$1000))</f>
        <v>0</v>
      </c>
      <c r="F31" s="14">
        <f ca="1">SUMPRODUCT((Input!$L$3:$L$1000=F$2)*(Input!$O$3:$O$1000=$B31)*(Input!$V$3:$V$1000))</f>
        <v>0</v>
      </c>
      <c r="G31" s="14">
        <f ca="1">SUMPRODUCT((Input!$L$3:$L$1000=G$2)*(Input!$O$3:$O$1000=$B31)*(Input!$V$3:$V$1000))</f>
        <v>0</v>
      </c>
      <c r="H31" s="14">
        <f ca="1">SUMPRODUCT((Input!$L$3:$L$1000=H$2)*(Input!$O$3:$O$1000=$B31)*(Input!$V$3:$V$1000))</f>
        <v>0</v>
      </c>
      <c r="I31" s="14">
        <f ca="1">SUMPRODUCT((Input!$L$3:$L$1000=I$2)*(Input!$O$3:$O$1000=$B31)*(Input!$V$3:$V$1000))</f>
        <v>0</v>
      </c>
      <c r="J31" s="14">
        <f ca="1">SUMPRODUCT((Input!$L$3:$L$1000=J$2)*(Input!$O$3:$O$1000=$B31)*(Input!$V$3:$V$1000))</f>
        <v>0</v>
      </c>
      <c r="K31" s="14">
        <f ca="1">SUMPRODUCT((Input!$L$3:$L$1000=K$2)*(Input!$O$3:$O$1000=$B31)*(Input!$V$3:$V$1000))</f>
        <v>0</v>
      </c>
      <c r="L31" s="14">
        <f ca="1">SUMPRODUCT((Input!$L$3:$L$1000=L$2)*(Input!$O$3:$O$1000=$B31)*(Input!$V$3:$V$1000))</f>
        <v>0</v>
      </c>
      <c r="M31" s="14">
        <f ca="1">SUMPRODUCT((Input!$L$3:$L$1000=M$2)*(Input!$O$3:$O$1000=$B31)*(Input!$V$3:$V$1000))</f>
        <v>0</v>
      </c>
      <c r="N31" s="14">
        <f ca="1">SUMPRODUCT((Input!$L$3:$L$1000=N$2)*(Input!$O$3:$O$1000=$B31)*(Input!$V$3:$V$1000))</f>
        <v>0</v>
      </c>
      <c r="O31" s="14">
        <f ca="1">SUMPRODUCT((Input!$L$3:$L$1000=O$2)*(Input!$O$3:$O$1000=$B31)*(Input!$V$3:$V$1000))</f>
        <v>0</v>
      </c>
      <c r="P31" s="14"/>
    </row>
    <row r="32" spans="1:16" x14ac:dyDescent="0.2">
      <c r="A32" s="12">
        <f t="shared" ca="1" si="0"/>
        <v>28</v>
      </c>
      <c r="B32" s="13"/>
      <c r="C32" s="14">
        <f t="array" aca="1" ref="C32" ca="1">SUM(LARGE(E32:P32,{1,2,3,4,5,6}))</f>
        <v>0</v>
      </c>
      <c r="D32" s="14">
        <f t="shared" ca="1" si="1"/>
        <v>0</v>
      </c>
      <c r="E32" s="14">
        <f ca="1">SUMPRODUCT((Input!$L$3:$L$1000=E$2)*(Input!$O$3:$O$1000=$B32)*(Input!$V$3:$V$1000))</f>
        <v>0</v>
      </c>
      <c r="F32" s="14">
        <f ca="1">SUMPRODUCT((Input!$L$3:$L$1000=F$2)*(Input!$O$3:$O$1000=$B32)*(Input!$V$3:$V$1000))</f>
        <v>0</v>
      </c>
      <c r="G32" s="14">
        <f ca="1">SUMPRODUCT((Input!$L$3:$L$1000=G$2)*(Input!$O$3:$O$1000=$B32)*(Input!$V$3:$V$1000))</f>
        <v>0</v>
      </c>
      <c r="H32" s="14">
        <f ca="1">SUMPRODUCT((Input!$L$3:$L$1000=H$2)*(Input!$O$3:$O$1000=$B32)*(Input!$V$3:$V$1000))</f>
        <v>0</v>
      </c>
      <c r="I32" s="14">
        <f ca="1">SUMPRODUCT((Input!$L$3:$L$1000=I$2)*(Input!$O$3:$O$1000=$B32)*(Input!$V$3:$V$1000))</f>
        <v>0</v>
      </c>
      <c r="J32" s="14">
        <f ca="1">SUMPRODUCT((Input!$L$3:$L$1000=J$2)*(Input!$O$3:$O$1000=$B32)*(Input!$V$3:$V$1000))</f>
        <v>0</v>
      </c>
      <c r="K32" s="14">
        <f ca="1">SUMPRODUCT((Input!$L$3:$L$1000=K$2)*(Input!$O$3:$O$1000=$B32)*(Input!$V$3:$V$1000))</f>
        <v>0</v>
      </c>
      <c r="L32" s="14">
        <f ca="1">SUMPRODUCT((Input!$L$3:$L$1000=L$2)*(Input!$O$3:$O$1000=$B32)*(Input!$V$3:$V$1000))</f>
        <v>0</v>
      </c>
      <c r="M32" s="14">
        <f ca="1">SUMPRODUCT((Input!$L$3:$L$1000=M$2)*(Input!$O$3:$O$1000=$B32)*(Input!$V$3:$V$1000))</f>
        <v>0</v>
      </c>
      <c r="N32" s="14">
        <f ca="1">SUMPRODUCT((Input!$L$3:$L$1000=N$2)*(Input!$O$3:$O$1000=$B32)*(Input!$V$3:$V$1000))</f>
        <v>0</v>
      </c>
      <c r="O32" s="14">
        <f ca="1">SUMPRODUCT((Input!$L$3:$L$1000=O$2)*(Input!$O$3:$O$1000=$B32)*(Input!$V$3:$V$1000))</f>
        <v>0</v>
      </c>
      <c r="P32" s="14"/>
    </row>
    <row r="33" spans="1:16" x14ac:dyDescent="0.2">
      <c r="A33" s="12">
        <f t="shared" ca="1" si="0"/>
        <v>28</v>
      </c>
      <c r="B33" s="13"/>
      <c r="C33" s="14">
        <f t="array" aca="1" ref="C33" ca="1">SUM(LARGE(E33:P33,{1,2,3,4,5,6}))</f>
        <v>0</v>
      </c>
      <c r="D33" s="14">
        <f t="shared" ca="1" si="1"/>
        <v>0</v>
      </c>
      <c r="E33" s="14">
        <f ca="1">SUMPRODUCT((Input!$L$3:$L$1000=E$2)*(Input!$O$3:$O$1000=$B33)*(Input!$V$3:$V$1000))</f>
        <v>0</v>
      </c>
      <c r="F33" s="14">
        <f ca="1">SUMPRODUCT((Input!$L$3:$L$1000=F$2)*(Input!$O$3:$O$1000=$B33)*(Input!$V$3:$V$1000))</f>
        <v>0</v>
      </c>
      <c r="G33" s="14">
        <f ca="1">SUMPRODUCT((Input!$L$3:$L$1000=G$2)*(Input!$O$3:$O$1000=$B33)*(Input!$V$3:$V$1000))</f>
        <v>0</v>
      </c>
      <c r="H33" s="14">
        <f ca="1">SUMPRODUCT((Input!$L$3:$L$1000=H$2)*(Input!$O$3:$O$1000=$B33)*(Input!$V$3:$V$1000))</f>
        <v>0</v>
      </c>
      <c r="I33" s="14">
        <f ca="1">SUMPRODUCT((Input!$L$3:$L$1000=I$2)*(Input!$O$3:$O$1000=$B33)*(Input!$V$3:$V$1000))</f>
        <v>0</v>
      </c>
      <c r="J33" s="14">
        <f ca="1">SUMPRODUCT((Input!$L$3:$L$1000=J$2)*(Input!$O$3:$O$1000=$B33)*(Input!$V$3:$V$1000))</f>
        <v>0</v>
      </c>
      <c r="K33" s="14">
        <f ca="1">SUMPRODUCT((Input!$L$3:$L$1000=K$2)*(Input!$O$3:$O$1000=$B33)*(Input!$V$3:$V$1000))</f>
        <v>0</v>
      </c>
      <c r="L33" s="14">
        <f ca="1">SUMPRODUCT((Input!$L$3:$L$1000=L$2)*(Input!$O$3:$O$1000=$B33)*(Input!$V$3:$V$1000))</f>
        <v>0</v>
      </c>
      <c r="M33" s="14">
        <f ca="1">SUMPRODUCT((Input!$L$3:$L$1000=M$2)*(Input!$O$3:$O$1000=$B33)*(Input!$V$3:$V$1000))</f>
        <v>0</v>
      </c>
      <c r="N33" s="14">
        <f ca="1">SUMPRODUCT((Input!$L$3:$L$1000=N$2)*(Input!$O$3:$O$1000=$B33)*(Input!$V$3:$V$1000))</f>
        <v>0</v>
      </c>
      <c r="O33" s="14">
        <f ca="1">SUMPRODUCT((Input!$L$3:$L$1000=O$2)*(Input!$O$3:$O$1000=$B33)*(Input!$V$3:$V$1000))</f>
        <v>0</v>
      </c>
      <c r="P33" s="14"/>
    </row>
    <row r="34" spans="1:16" x14ac:dyDescent="0.2">
      <c r="A34" s="12">
        <f t="shared" ca="1" si="0"/>
        <v>28</v>
      </c>
      <c r="B34" s="13"/>
      <c r="C34" s="14">
        <f t="array" aca="1" ref="C34" ca="1">SUM(LARGE(E34:P34,{1,2,3,4,5,6}))</f>
        <v>0</v>
      </c>
      <c r="D34" s="14">
        <f t="shared" ca="1" si="1"/>
        <v>0</v>
      </c>
      <c r="E34" s="14">
        <f ca="1">SUMPRODUCT((Input!$L$3:$L$1000=E$2)*(Input!$O$3:$O$1000=$B34)*(Input!$V$3:$V$1000))</f>
        <v>0</v>
      </c>
      <c r="F34" s="14">
        <f ca="1">SUMPRODUCT((Input!$L$3:$L$1000=F$2)*(Input!$O$3:$O$1000=$B34)*(Input!$V$3:$V$1000))</f>
        <v>0</v>
      </c>
      <c r="G34" s="14">
        <f ca="1">SUMPRODUCT((Input!$L$3:$L$1000=G$2)*(Input!$O$3:$O$1000=$B34)*(Input!$V$3:$V$1000))</f>
        <v>0</v>
      </c>
      <c r="H34" s="14">
        <f ca="1">SUMPRODUCT((Input!$L$3:$L$1000=H$2)*(Input!$O$3:$O$1000=$B34)*(Input!$V$3:$V$1000))</f>
        <v>0</v>
      </c>
      <c r="I34" s="14">
        <f ca="1">SUMPRODUCT((Input!$L$3:$L$1000=I$2)*(Input!$O$3:$O$1000=$B34)*(Input!$V$3:$V$1000))</f>
        <v>0</v>
      </c>
      <c r="J34" s="14">
        <f ca="1">SUMPRODUCT((Input!$L$3:$L$1000=J$2)*(Input!$O$3:$O$1000=$B34)*(Input!$V$3:$V$1000))</f>
        <v>0</v>
      </c>
      <c r="K34" s="14">
        <f ca="1">SUMPRODUCT((Input!$L$3:$L$1000=K$2)*(Input!$O$3:$O$1000=$B34)*(Input!$V$3:$V$1000))</f>
        <v>0</v>
      </c>
      <c r="L34" s="14">
        <f ca="1">SUMPRODUCT((Input!$L$3:$L$1000=L$2)*(Input!$O$3:$O$1000=$B34)*(Input!$V$3:$V$1000))</f>
        <v>0</v>
      </c>
      <c r="M34" s="14">
        <f ca="1">SUMPRODUCT((Input!$L$3:$L$1000=M$2)*(Input!$O$3:$O$1000=$B34)*(Input!$V$3:$V$1000))</f>
        <v>0</v>
      </c>
      <c r="N34" s="14">
        <f ca="1">SUMPRODUCT((Input!$L$3:$L$1000=N$2)*(Input!$O$3:$O$1000=$B34)*(Input!$V$3:$V$1000))</f>
        <v>0</v>
      </c>
      <c r="O34" s="14">
        <f ca="1">SUMPRODUCT((Input!$L$3:$L$1000=O$2)*(Input!$O$3:$O$1000=$B34)*(Input!$V$3:$V$1000))</f>
        <v>0</v>
      </c>
      <c r="P34" s="14"/>
    </row>
  </sheetData>
  <conditionalFormatting sqref="C4:P34">
    <cfRule type="cellIs" dxfId="16" priority="3" operator="equal">
      <formula>0</formula>
    </cfRule>
  </conditionalFormatting>
  <conditionalFormatting sqref="E4:P34">
    <cfRule type="cellIs" dxfId="15" priority="1" operator="equal">
      <formula>0</formula>
    </cfRule>
    <cfRule type="expression" dxfId="14" priority="2">
      <formula>AND($D4&gt;$C$1,RANK(VALUE(E4),$E4:$O4)+COUNTIF($E4:E4,E4)-1&lt;=$C$1)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P18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8.7109375" customWidth="1"/>
    <col min="2" max="2" width="22.42578125" customWidth="1"/>
    <col min="3" max="3" width="9.28515625" customWidth="1"/>
    <col min="4" max="13" width="10.28515625" customWidth="1"/>
    <col min="14" max="14" width="9.85546875" customWidth="1"/>
    <col min="15" max="16" width="11.42578125" customWidth="1"/>
  </cols>
  <sheetData>
    <row r="1" spans="1:16" ht="15.75" customHeight="1" x14ac:dyDescent="0.4">
      <c r="A1" s="1" t="s">
        <v>35</v>
      </c>
      <c r="B1" s="1"/>
      <c r="C1" s="1">
        <v>6</v>
      </c>
      <c r="D1" s="1" t="s">
        <v>1</v>
      </c>
      <c r="E1" s="2"/>
      <c r="F1" s="3">
        <f ca="1">COUNTIF(C4:C100,"&gt;"&amp;0)+3</f>
        <v>7</v>
      </c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45765</v>
      </c>
      <c r="G2" s="6">
        <v>45768</v>
      </c>
      <c r="H2" s="6">
        <v>45802</v>
      </c>
      <c r="I2" s="6">
        <v>45809</v>
      </c>
      <c r="J2" s="6">
        <v>45816</v>
      </c>
      <c r="K2" s="6">
        <v>45837</v>
      </c>
      <c r="L2" s="6">
        <v>45858</v>
      </c>
      <c r="M2" s="6">
        <v>45865</v>
      </c>
      <c r="N2" s="7">
        <v>45885</v>
      </c>
      <c r="O2" s="8">
        <v>45928</v>
      </c>
      <c r="P2" s="6">
        <v>45557</v>
      </c>
    </row>
    <row r="3" spans="1:16" x14ac:dyDescent="0.2">
      <c r="A3" s="9"/>
      <c r="B3" s="9"/>
      <c r="C3" s="9"/>
      <c r="D3" s="9"/>
      <c r="E3" s="9">
        <v>10</v>
      </c>
      <c r="F3" s="9">
        <v>25</v>
      </c>
      <c r="G3" s="9">
        <v>10</v>
      </c>
      <c r="H3" s="9">
        <v>25</v>
      </c>
      <c r="I3" s="9">
        <v>10</v>
      </c>
      <c r="J3" s="9">
        <v>10</v>
      </c>
      <c r="K3" s="9">
        <v>50</v>
      </c>
      <c r="L3" s="9">
        <v>50</v>
      </c>
      <c r="M3" s="9">
        <v>25</v>
      </c>
      <c r="N3" s="10">
        <v>10</v>
      </c>
      <c r="O3" s="11">
        <v>25</v>
      </c>
      <c r="P3" s="9">
        <v>48</v>
      </c>
    </row>
    <row r="4" spans="1:16" x14ac:dyDescent="0.2">
      <c r="A4" s="12">
        <f t="shared" ref="A4:A8" ca="1" si="0">RANK(C4,$C$4:$C$30)</f>
        <v>1</v>
      </c>
      <c r="B4" s="13" t="s">
        <v>15</v>
      </c>
      <c r="C4" s="14">
        <f t="array" aca="1" ref="C4" ca="1">SUM(LARGE(E4:P4,{1,2,3,4,5,6}))</f>
        <v>120</v>
      </c>
      <c r="D4" s="14">
        <f t="shared" ref="D4:D8" ca="1" si="1">COUNTIF(E4:P4,"&gt;"&amp;0)</f>
        <v>2</v>
      </c>
      <c r="E4" s="14">
        <f ca="1">SUMPRODUCT((Input!$L$3:$L$1000=E$2)*(Input!$O$3:$O$1000=$B4)*(Input!$AA$3:$AA$1000))</f>
        <v>0</v>
      </c>
      <c r="F4" s="14">
        <f ca="1">SUMPRODUCT((Input!$L$3:$L$1000=F$2)*(Input!$O$3:$O$1000=$B4)*(Input!$AA$3:$AA$1000))</f>
        <v>60</v>
      </c>
      <c r="G4" s="14">
        <f ca="1">SUMPRODUCT((Input!$L$3:$L$1000=G$2)*(Input!$O$3:$O$1000=$B4)*(Input!$AA$3:$AA$1000))</f>
        <v>0</v>
      </c>
      <c r="H4" s="14">
        <f ca="1">SUMPRODUCT((Input!$L$3:$L$1000=H$2)*(Input!$O$3:$O$1000=$B4)*(Input!$AA$3:$AA$1000))</f>
        <v>60</v>
      </c>
      <c r="I4" s="14">
        <f ca="1">SUMPRODUCT((Input!$L$3:$L$1000=I$2)*(Input!$O$3:$O$1000=$B4)*(Input!$AA$3:$AA$1000))</f>
        <v>0</v>
      </c>
      <c r="J4" s="14">
        <f ca="1">SUMPRODUCT((Input!$L$3:$L$1000=J$2)*(Input!$O$3:$O$1000=$B4)*(Input!$AA$3:$AA$1000))</f>
        <v>0</v>
      </c>
      <c r="K4" s="14">
        <f ca="1">SUMPRODUCT((Input!$L$3:$L$1000=K$2)*(Input!$O$3:$O$1000=$B4)*(Input!$AA$3:$AA$1000))</f>
        <v>0</v>
      </c>
      <c r="L4" s="14">
        <f ca="1">SUMPRODUCT((Input!$L$3:$L$1000=L$2)*(Input!$O$3:$O$1000=$B4)*(Input!$AA$3:$AA$1000))</f>
        <v>0</v>
      </c>
      <c r="M4" s="14">
        <f ca="1">SUMPRODUCT((Input!$L$3:$L$1000=M$2)*(Input!$O$3:$O$1000=$B4)*(Input!$AA$3:$AA$1000))</f>
        <v>0</v>
      </c>
      <c r="N4" s="14">
        <f ca="1">SUMPRODUCT((Input!$L$3:$L$1000=N$2)*(Input!$O$3:$O$1000=$B4)*(Input!$AA$3:$AA$1000))</f>
        <v>0</v>
      </c>
      <c r="O4" s="14">
        <f ca="1">SUMPRODUCT((Input!$L$3:$L$1000=O$2)*(Input!$O$3:$O$1000=$B4)*(Input!$AA$3:$AA$1000))</f>
        <v>0</v>
      </c>
      <c r="P4" s="14">
        <f ca="1">SUMPRODUCT((Input!$L$3:$L$1000=P$2)*(Input!$O$3:$O$1000=$B4)*(Input!$AA$3:$AA$1000))</f>
        <v>0</v>
      </c>
    </row>
    <row r="5" spans="1:16" x14ac:dyDescent="0.2">
      <c r="A5" s="12">
        <f t="shared" ca="1" si="0"/>
        <v>1</v>
      </c>
      <c r="B5" s="13" t="s">
        <v>20</v>
      </c>
      <c r="C5" s="14">
        <f t="array" aca="1" ref="C5" ca="1">SUM(LARGE(E5:P5,{1,2,3,4,5,6}))</f>
        <v>120</v>
      </c>
      <c r="D5" s="14">
        <f t="shared" ca="1" si="1"/>
        <v>2</v>
      </c>
      <c r="E5" s="14">
        <f ca="1">SUMPRODUCT((Input!$L$3:$L$1000=E$2)*(Input!$O$3:$O$1000=$B5)*(Input!$AA$3:$AA$1000))</f>
        <v>0</v>
      </c>
      <c r="F5" s="14">
        <f ca="1">SUMPRODUCT((Input!$L$3:$L$1000=F$2)*(Input!$O$3:$O$1000=$B5)*(Input!$AA$3:$AA$1000))</f>
        <v>0</v>
      </c>
      <c r="G5" s="14">
        <f ca="1">SUMPRODUCT((Input!$L$3:$L$1000=G$2)*(Input!$O$3:$O$1000=$B5)*(Input!$AA$3:$AA$1000))</f>
        <v>60</v>
      </c>
      <c r="H5" s="14">
        <f ca="1">SUMPRODUCT((Input!$L$3:$L$1000=H$2)*(Input!$O$3:$O$1000=$B5)*(Input!$AA$3:$AA$1000))</f>
        <v>0</v>
      </c>
      <c r="I5" s="14">
        <f ca="1">SUMPRODUCT((Input!$L$3:$L$1000=I$2)*(Input!$O$3:$O$1000=$B5)*(Input!$AA$3:$AA$1000))</f>
        <v>0</v>
      </c>
      <c r="J5" s="14">
        <f ca="1">SUMPRODUCT((Input!$L$3:$L$1000=J$2)*(Input!$O$3:$O$1000=$B5)*(Input!$AA$3:$AA$1000))</f>
        <v>60</v>
      </c>
      <c r="K5" s="14">
        <f ca="1">SUMPRODUCT((Input!$L$3:$L$1000=K$2)*(Input!$O$3:$O$1000=$B5)*(Input!$AA$3:$AA$1000))</f>
        <v>0</v>
      </c>
      <c r="L5" s="14">
        <f ca="1">SUMPRODUCT((Input!$L$3:$L$1000=L$2)*(Input!$O$3:$O$1000=$B5)*(Input!$AA$3:$AA$1000))</f>
        <v>0</v>
      </c>
      <c r="M5" s="14">
        <f ca="1">SUMPRODUCT((Input!$L$3:$L$1000=M$2)*(Input!$O$3:$O$1000=$B5)*(Input!$AA$3:$AA$1000))</f>
        <v>0</v>
      </c>
      <c r="N5" s="14">
        <f ca="1">SUMPRODUCT((Input!$L$3:$L$1000=N$2)*(Input!$O$3:$O$1000=$B5)*(Input!$AA$3:$AA$1000))</f>
        <v>0</v>
      </c>
      <c r="O5" s="14">
        <f ca="1">SUMPRODUCT((Input!$L$3:$L$1000=O$2)*(Input!$O$3:$O$1000=$B5)*(Input!$AA$3:$AA$1000))</f>
        <v>0</v>
      </c>
      <c r="P5" s="14">
        <f ca="1">SUMPRODUCT((Input!$L$3:$L$1000=P$2)*(Input!$O$3:$O$1000=$B5)*(Input!$AA$3:$AA$1000))</f>
        <v>0</v>
      </c>
    </row>
    <row r="6" spans="1:16" x14ac:dyDescent="0.2">
      <c r="A6" s="12">
        <f t="shared" ca="1" si="0"/>
        <v>3</v>
      </c>
      <c r="B6" s="13" t="s">
        <v>32</v>
      </c>
      <c r="C6" s="14">
        <f t="array" aca="1" ref="C6" ca="1">SUM(LARGE(E6:P6,{1,2,3,4,5,6}))</f>
        <v>59</v>
      </c>
      <c r="D6" s="14">
        <f t="shared" ca="1" si="1"/>
        <v>1</v>
      </c>
      <c r="E6" s="14">
        <f ca="1">SUMPRODUCT((Input!$L$3:$L$1000=E$2)*(Input!$O$3:$O$1000=$B6)*(Input!$AA$3:$AA$1000))</f>
        <v>0</v>
      </c>
      <c r="F6" s="14">
        <f ca="1">SUMPRODUCT((Input!$L$3:$L$1000=F$2)*(Input!$O$3:$O$1000=$B6)*(Input!$AA$3:$AA$1000))</f>
        <v>0</v>
      </c>
      <c r="G6" s="14">
        <f ca="1">SUMPRODUCT((Input!$L$3:$L$1000=G$2)*(Input!$O$3:$O$1000=$B6)*(Input!$AA$3:$AA$1000))</f>
        <v>59</v>
      </c>
      <c r="H6" s="14">
        <f ca="1">SUMPRODUCT((Input!$L$3:$L$1000=H$2)*(Input!$O$3:$O$1000=$B6)*(Input!$AA$3:$AA$1000))</f>
        <v>0</v>
      </c>
      <c r="I6" s="14">
        <f ca="1">SUMPRODUCT((Input!$L$3:$L$1000=I$2)*(Input!$O$3:$O$1000=$B6)*(Input!$AA$3:$AA$1000))</f>
        <v>0</v>
      </c>
      <c r="J6" s="14">
        <f ca="1">SUMPRODUCT((Input!$L$3:$L$1000=J$2)*(Input!$O$3:$O$1000=$B6)*(Input!$AA$3:$AA$1000))</f>
        <v>0</v>
      </c>
      <c r="K6" s="14">
        <f ca="1">SUMPRODUCT((Input!$L$3:$L$1000=K$2)*(Input!$O$3:$O$1000=$B6)*(Input!$AA$3:$AA$1000))</f>
        <v>0</v>
      </c>
      <c r="L6" s="14">
        <f ca="1">SUMPRODUCT((Input!$L$3:$L$1000=L$2)*(Input!$O$3:$O$1000=$B6)*(Input!$AA$3:$AA$1000))</f>
        <v>0</v>
      </c>
      <c r="M6" s="14">
        <f ca="1">SUMPRODUCT((Input!$L$3:$L$1000=M$2)*(Input!$O$3:$O$1000=$B6)*(Input!$AA$3:$AA$1000))</f>
        <v>0</v>
      </c>
      <c r="N6" s="14">
        <f ca="1">SUMPRODUCT((Input!$L$3:$L$1000=N$2)*(Input!$O$3:$O$1000=$B6)*(Input!$AA$3:$AA$1000))</f>
        <v>0</v>
      </c>
      <c r="O6" s="14">
        <f ca="1">SUMPRODUCT((Input!$L$3:$L$1000=O$2)*(Input!$O$3:$O$1000=$B6)*(Input!$AA$3:$AA$1000))</f>
        <v>0</v>
      </c>
      <c r="P6" s="14">
        <f ca="1">SUMPRODUCT((Input!$L$3:$L$1000=P$2)*(Input!$O$3:$O$1000=$B6)*(Input!$AA$3:$AA$1000))</f>
        <v>0</v>
      </c>
    </row>
    <row r="7" spans="1:16" x14ac:dyDescent="0.2">
      <c r="A7" s="12">
        <f t="shared" ca="1" si="0"/>
        <v>3</v>
      </c>
      <c r="B7" s="13" t="s">
        <v>27</v>
      </c>
      <c r="C7" s="14">
        <f t="array" aca="1" ref="C7" ca="1">SUM(LARGE(E7:P7,{1,2,3,4,5,6}))</f>
        <v>59</v>
      </c>
      <c r="D7" s="14">
        <f t="shared" ca="1" si="1"/>
        <v>1</v>
      </c>
      <c r="E7" s="14">
        <f ca="1">SUMPRODUCT((Input!$L$3:$L$1000=E$2)*(Input!$O$3:$O$1000=$B7)*(Input!$AA$3:$AA$1000))</f>
        <v>0</v>
      </c>
      <c r="F7" s="14">
        <f ca="1">SUMPRODUCT((Input!$L$3:$L$1000=F$2)*(Input!$O$3:$O$1000=$B7)*(Input!$AA$3:$AA$1000))</f>
        <v>0</v>
      </c>
      <c r="G7" s="14">
        <f ca="1">SUMPRODUCT((Input!$L$3:$L$1000=G$2)*(Input!$O$3:$O$1000=$B7)*(Input!$AA$3:$AA$1000))</f>
        <v>0</v>
      </c>
      <c r="H7" s="14">
        <f ca="1">SUMPRODUCT((Input!$L$3:$L$1000=H$2)*(Input!$O$3:$O$1000=$B7)*(Input!$AA$3:$AA$1000))</f>
        <v>0</v>
      </c>
      <c r="I7" s="14">
        <f ca="1">SUMPRODUCT((Input!$L$3:$L$1000=I$2)*(Input!$O$3:$O$1000=$B7)*(Input!$AA$3:$AA$1000))</f>
        <v>0</v>
      </c>
      <c r="J7" s="14">
        <f ca="1">SUMPRODUCT((Input!$L$3:$L$1000=J$2)*(Input!$O$3:$O$1000=$B7)*(Input!$AA$3:$AA$1000))</f>
        <v>59</v>
      </c>
      <c r="K7" s="14">
        <f ca="1">SUMPRODUCT((Input!$L$3:$L$1000=K$2)*(Input!$O$3:$O$1000=$B7)*(Input!$AA$3:$AA$1000))</f>
        <v>0</v>
      </c>
      <c r="L7" s="14">
        <f ca="1">SUMPRODUCT((Input!$L$3:$L$1000=L$2)*(Input!$O$3:$O$1000=$B7)*(Input!$AA$3:$AA$1000))</f>
        <v>0</v>
      </c>
      <c r="M7" s="14">
        <f ca="1">SUMPRODUCT((Input!$L$3:$L$1000=M$2)*(Input!$O$3:$O$1000=$B7)*(Input!$AA$3:$AA$1000))</f>
        <v>0</v>
      </c>
      <c r="N7" s="14">
        <f ca="1">SUMPRODUCT((Input!$L$3:$L$1000=N$2)*(Input!$O$3:$O$1000=$B7)*(Input!$AA$3:$AA$1000))</f>
        <v>0</v>
      </c>
      <c r="O7" s="14">
        <f ca="1">SUMPRODUCT((Input!$L$3:$L$1000=O$2)*(Input!$O$3:$O$1000=$B7)*(Input!$AA$3:$AA$1000))</f>
        <v>0</v>
      </c>
      <c r="P7" s="14">
        <f ca="1">SUMPRODUCT((Input!$L$3:$L$1000=P$2)*(Input!$O$3:$O$1000=$B7)*(Input!$AA$3:$AA$1000))</f>
        <v>0</v>
      </c>
    </row>
    <row r="8" spans="1:16" x14ac:dyDescent="0.2">
      <c r="A8" s="12">
        <f t="shared" ca="1" si="0"/>
        <v>5</v>
      </c>
      <c r="B8" s="13"/>
      <c r="C8" s="14">
        <f t="array" aca="1" ref="C8" ca="1">SUM(LARGE(E8:P8,{1,2,3,4,5,6}))</f>
        <v>0</v>
      </c>
      <c r="D8" s="14">
        <f t="shared" ca="1" si="1"/>
        <v>0</v>
      </c>
      <c r="E8" s="14">
        <f ca="1">SUMPRODUCT((Input!$L$3:$L$1000=E$2)*(Input!$O$3:$O$1000=$B8)*(Input!$AA$3:$AA$1000))</f>
        <v>0</v>
      </c>
      <c r="F8" s="14">
        <f ca="1">SUMPRODUCT((Input!$L$3:$L$1000=F$2)*(Input!$O$3:$O$1000=$B8)*(Input!$AA$3:$AA$1000))</f>
        <v>0</v>
      </c>
      <c r="G8" s="14">
        <f ca="1">SUMPRODUCT((Input!$L$3:$L$1000=G$2)*(Input!$O$3:$O$1000=$B8)*(Input!$AA$3:$AA$1000))</f>
        <v>0</v>
      </c>
      <c r="H8" s="14">
        <f ca="1">SUMPRODUCT((Input!$L$3:$L$1000=H$2)*(Input!$O$3:$O$1000=$B8)*(Input!$AA$3:$AA$1000))</f>
        <v>0</v>
      </c>
      <c r="I8" s="14">
        <f ca="1">SUMPRODUCT((Input!$L$3:$L$1000=I$2)*(Input!$O$3:$O$1000=$B8)*(Input!$AA$3:$AA$1000))</f>
        <v>0</v>
      </c>
      <c r="J8" s="14">
        <f ca="1">SUMPRODUCT((Input!$L$3:$L$1000=J$2)*(Input!$O$3:$O$1000=$B8)*(Input!$AA$3:$AA$1000))</f>
        <v>0</v>
      </c>
      <c r="K8" s="14">
        <f ca="1">SUMPRODUCT((Input!$L$3:$L$1000=K$2)*(Input!$O$3:$O$1000=$B8)*(Input!$AA$3:$AA$1000))</f>
        <v>0</v>
      </c>
      <c r="L8" s="14">
        <f ca="1">SUMPRODUCT((Input!$L$3:$L$1000=L$2)*(Input!$O$3:$O$1000=$B8)*(Input!$AA$3:$AA$1000))</f>
        <v>0</v>
      </c>
      <c r="M8" s="14">
        <f ca="1">SUMPRODUCT((Input!$L$3:$L$1000=M$2)*(Input!$O$3:$O$1000=$B8)*(Input!$AA$3:$AA$1000))</f>
        <v>0</v>
      </c>
      <c r="N8" s="14">
        <f ca="1">SUMPRODUCT((Input!$L$3:$L$1000=N$2)*(Input!$O$3:$O$1000=$B8)*(Input!$AA$3:$AA$1000))</f>
        <v>0</v>
      </c>
      <c r="O8" s="14">
        <f ca="1">SUMPRODUCT((Input!$L$3:$L$1000=O$2)*(Input!$O$3:$O$1000=$B8)*(Input!$AA$3:$AA$1000))</f>
        <v>0</v>
      </c>
      <c r="P8" s="14">
        <f ca="1">SUMPRODUCT((Input!$L$3:$L$1000=P$2)*(Input!$O$3:$O$1000=$B8)*(Input!$AA$3:$AA$1000))</f>
        <v>0</v>
      </c>
    </row>
    <row r="9" spans="1:16" x14ac:dyDescent="0.2">
      <c r="A9" s="12"/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x14ac:dyDescent="0.2">
      <c r="A10" s="12"/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x14ac:dyDescent="0.2">
      <c r="A11" s="12"/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x14ac:dyDescent="0.2">
      <c r="A12" s="12"/>
      <c r="B12" s="13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x14ac:dyDescent="0.2">
      <c r="A13" s="12"/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x14ac:dyDescent="0.2">
      <c r="A14" s="12"/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x14ac:dyDescent="0.2">
      <c r="A15" s="12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x14ac:dyDescent="0.2">
      <c r="A16" s="12"/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x14ac:dyDescent="0.2">
      <c r="A17" s="12"/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x14ac:dyDescent="0.2">
      <c r="A18" s="12"/>
      <c r="B18" s="13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</row>
  </sheetData>
  <conditionalFormatting sqref="C4:P18">
    <cfRule type="cellIs" dxfId="13" priority="3" operator="equal">
      <formula>0</formula>
    </cfRule>
  </conditionalFormatting>
  <conditionalFormatting sqref="E4:P21">
    <cfRule type="cellIs" dxfId="12" priority="1" operator="equal">
      <formula>0</formula>
    </cfRule>
    <cfRule type="expression" dxfId="11" priority="2">
      <formula>AND($D4&gt;$C$1,RANK(VALUE(E4),$E4:$P4)+COUNTIF($E4:E4,E4)-1&lt;=$C$1)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P2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2.5703125" defaultRowHeight="15.75" customHeight="1" x14ac:dyDescent="0.2"/>
  <cols>
    <col min="1" max="1" width="8.7109375" customWidth="1"/>
    <col min="2" max="2" width="22.42578125" customWidth="1"/>
    <col min="3" max="3" width="9.28515625" customWidth="1"/>
    <col min="4" max="13" width="10.28515625" customWidth="1"/>
    <col min="14" max="14" width="10" customWidth="1"/>
    <col min="15" max="16" width="11.42578125" customWidth="1"/>
  </cols>
  <sheetData>
    <row r="1" spans="1:16" ht="15.75" customHeight="1" x14ac:dyDescent="0.4">
      <c r="A1" s="1" t="s">
        <v>36</v>
      </c>
      <c r="B1" s="1"/>
      <c r="C1" s="1">
        <v>6</v>
      </c>
      <c r="D1" s="1" t="s">
        <v>1</v>
      </c>
      <c r="E1" s="2"/>
      <c r="F1" s="3">
        <f ca="1">COUNTIF(C4:C100,"&gt;"&amp;0)+3</f>
        <v>25</v>
      </c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45765</v>
      </c>
      <c r="G2" s="6">
        <v>45768</v>
      </c>
      <c r="H2" s="6">
        <v>45802</v>
      </c>
      <c r="I2" s="6">
        <v>45809</v>
      </c>
      <c r="J2" s="6">
        <v>45816</v>
      </c>
      <c r="K2" s="6">
        <v>45837</v>
      </c>
      <c r="L2" s="6">
        <v>45858</v>
      </c>
      <c r="M2" s="6">
        <v>45865</v>
      </c>
      <c r="N2" s="7">
        <v>45885</v>
      </c>
      <c r="O2" s="8">
        <v>45928</v>
      </c>
      <c r="P2" s="6">
        <v>45557</v>
      </c>
    </row>
    <row r="3" spans="1:16" x14ac:dyDescent="0.2">
      <c r="A3" s="9"/>
      <c r="B3" s="9"/>
      <c r="C3" s="9"/>
      <c r="D3" s="9"/>
      <c r="E3" s="9">
        <v>10</v>
      </c>
      <c r="F3" s="9">
        <v>25</v>
      </c>
      <c r="G3" s="9">
        <v>10</v>
      </c>
      <c r="H3" s="9">
        <v>25</v>
      </c>
      <c r="I3" s="9">
        <v>10</v>
      </c>
      <c r="J3" s="9">
        <v>10</v>
      </c>
      <c r="K3" s="9">
        <v>50</v>
      </c>
      <c r="L3" s="9">
        <v>50</v>
      </c>
      <c r="M3" s="9">
        <v>25</v>
      </c>
      <c r="N3" s="10">
        <v>10</v>
      </c>
      <c r="O3" s="11">
        <v>25</v>
      </c>
      <c r="P3" s="9">
        <v>48</v>
      </c>
    </row>
    <row r="4" spans="1:16" x14ac:dyDescent="0.2">
      <c r="A4" s="12">
        <f t="shared" ref="A4:A25" ca="1" si="0">RANK(C4,$C$4:$C$30)</f>
        <v>1</v>
      </c>
      <c r="B4" s="13" t="s">
        <v>6</v>
      </c>
      <c r="C4" s="14">
        <f t="array" aca="1" ref="C4" ca="1">SUM(LARGE(E4:P4,{1,2,3,4,5,6}))</f>
        <v>360</v>
      </c>
      <c r="D4" s="14">
        <f t="shared" ref="D4:D25" ca="1" si="1">COUNTIF(E4:P4,"&gt;"&amp;0)</f>
        <v>7</v>
      </c>
      <c r="E4" s="14">
        <f ca="1">SUMPRODUCT((Input!$L$3:$L$1000=E$2)*(Input!$O$3:$O$1000=$B4)*(Input!$Y$3:$Y$1000))</f>
        <v>60</v>
      </c>
      <c r="F4" s="14">
        <f ca="1">SUMPRODUCT((Input!$L$3:$L$1000=F$2)*(Input!$O$3:$O$1000=$B4)*(Input!$Y$3:$Y$1000))</f>
        <v>0</v>
      </c>
      <c r="G4" s="14">
        <f ca="1">SUMPRODUCT((Input!$L$3:$L$1000=G$2)*(Input!$O$3:$O$1000=$B4)*(Input!$Y$3:$Y$1000))</f>
        <v>60</v>
      </c>
      <c r="H4" s="14">
        <f ca="1">SUMPRODUCT((Input!$L$3:$L$1000=H$2)*(Input!$O$3:$O$1000=$B4)*(Input!$Y$3:$Y$1000))</f>
        <v>60</v>
      </c>
      <c r="I4" s="14">
        <f ca="1">SUMPRODUCT((Input!$L$3:$L$1000=I$2)*(Input!$O$3:$O$1000=$B4)*(Input!$Y$3:$Y$1000))</f>
        <v>60</v>
      </c>
      <c r="J4" s="14">
        <f ca="1">SUMPRODUCT((Input!$L$3:$L$1000=J$2)*(Input!$O$3:$O$1000=$B4)*(Input!$Y$3:$Y$1000))</f>
        <v>0</v>
      </c>
      <c r="K4" s="14">
        <f ca="1">SUMPRODUCT((Input!$L$3:$L$1000=K$2)*(Input!$O$3:$O$1000=$B4)*(Input!$Y$3:$Y$1000))</f>
        <v>60</v>
      </c>
      <c r="L4" s="14">
        <f ca="1">SUMPRODUCT((Input!$L$3:$L$1000=L$2)*(Input!$O$3:$O$1000=$B4)*(Input!$Y$3:$Y$1000))</f>
        <v>60</v>
      </c>
      <c r="M4" s="14">
        <f ca="1">SUMPRODUCT((Input!$L$3:$L$1000=M$2)*(Input!$O$3:$O$1000=$B4)*(Input!$Y$3:$Y$1000))</f>
        <v>60</v>
      </c>
      <c r="N4" s="14">
        <f ca="1">SUMPRODUCT((Input!$L$3:$L$1000=N$2)*(Input!$O$3:$O$1000=$B4)*(Input!$Y$3:$Y$1000))</f>
        <v>0</v>
      </c>
      <c r="O4" s="14">
        <f ca="1">SUMPRODUCT((Input!$L$3:$L$1000=O$2)*(Input!$O$3:$O$1000=$B4)*(Input!$Y$3:$Y$1000))</f>
        <v>0</v>
      </c>
      <c r="P4" s="14">
        <f ca="1">SUMPRODUCT((Input!$L$3:$L$1000=P$2)*(Input!$O$3:$O$1000=$B4)*(Input!$Y$3:$Y$1000))</f>
        <v>0</v>
      </c>
    </row>
    <row r="5" spans="1:16" x14ac:dyDescent="0.2">
      <c r="A5" s="12">
        <f t="shared" ca="1" si="0"/>
        <v>2</v>
      </c>
      <c r="B5" s="13" t="s">
        <v>7</v>
      </c>
      <c r="C5" s="14">
        <f t="array" aca="1" ref="C5" ca="1">SUM(LARGE(E5:P5,{1,2,3,4,5,6}))</f>
        <v>348</v>
      </c>
      <c r="D5" s="14">
        <f t="shared" ca="1" si="1"/>
        <v>6</v>
      </c>
      <c r="E5" s="14">
        <f ca="1">SUMPRODUCT((Input!$L$3:$L$1000=E$2)*(Input!$O$3:$O$1000=$B5)*(Input!$Y$3:$Y$1000))</f>
        <v>0</v>
      </c>
      <c r="F5" s="14">
        <f ca="1">SUMPRODUCT((Input!$L$3:$L$1000=F$2)*(Input!$O$3:$O$1000=$B5)*(Input!$Y$3:$Y$1000))</f>
        <v>0</v>
      </c>
      <c r="G5" s="14">
        <f ca="1">SUMPRODUCT((Input!$L$3:$L$1000=G$2)*(Input!$O$3:$O$1000=$B5)*(Input!$Y$3:$Y$1000))</f>
        <v>57</v>
      </c>
      <c r="H5" s="14">
        <f ca="1">SUMPRODUCT((Input!$L$3:$L$1000=H$2)*(Input!$O$3:$O$1000=$B5)*(Input!$Y$3:$Y$1000))</f>
        <v>57</v>
      </c>
      <c r="I5" s="14">
        <f ca="1">SUMPRODUCT((Input!$L$3:$L$1000=I$2)*(Input!$O$3:$O$1000=$B5)*(Input!$Y$3:$Y$1000))</f>
        <v>58</v>
      </c>
      <c r="J5" s="14">
        <f ca="1">SUMPRODUCT((Input!$L$3:$L$1000=J$2)*(Input!$O$3:$O$1000=$B5)*(Input!$Y$3:$Y$1000))</f>
        <v>59</v>
      </c>
      <c r="K5" s="14">
        <f ca="1">SUMPRODUCT((Input!$L$3:$L$1000=K$2)*(Input!$O$3:$O$1000=$B5)*(Input!$Y$3:$Y$1000))</f>
        <v>58</v>
      </c>
      <c r="L5" s="14">
        <f ca="1">SUMPRODUCT((Input!$L$3:$L$1000=L$2)*(Input!$O$3:$O$1000=$B5)*(Input!$Y$3:$Y$1000))</f>
        <v>0</v>
      </c>
      <c r="M5" s="14">
        <f ca="1">SUMPRODUCT((Input!$L$3:$L$1000=M$2)*(Input!$O$3:$O$1000=$B5)*(Input!$Y$3:$Y$1000))</f>
        <v>59</v>
      </c>
      <c r="N5" s="14">
        <f ca="1">SUMPRODUCT((Input!$L$3:$L$1000=N$2)*(Input!$O$3:$O$1000=$B5)*(Input!$Y$3:$Y$1000))</f>
        <v>0</v>
      </c>
      <c r="O5" s="14">
        <f ca="1">SUMPRODUCT((Input!$L$3:$L$1000=O$2)*(Input!$O$3:$O$1000=$B5)*(Input!$Y$3:$Y$1000))</f>
        <v>0</v>
      </c>
      <c r="P5" s="14">
        <f ca="1">SUMPRODUCT((Input!$L$3:$L$1000=P$2)*(Input!$O$3:$O$1000=$B5)*(Input!$Y$3:$Y$1000))</f>
        <v>0</v>
      </c>
    </row>
    <row r="6" spans="1:16" x14ac:dyDescent="0.2">
      <c r="A6" s="12">
        <f t="shared" ca="1" si="0"/>
        <v>3</v>
      </c>
      <c r="B6" s="13" t="s">
        <v>8</v>
      </c>
      <c r="C6" s="14">
        <f t="array" aca="1" ref="C6" ca="1">SUM(LARGE(E6:P6,{1,2,3,4,5,6}))</f>
        <v>342</v>
      </c>
      <c r="D6" s="14">
        <f t="shared" ca="1" si="1"/>
        <v>7</v>
      </c>
      <c r="E6" s="14">
        <f ca="1">SUMPRODUCT((Input!$L$3:$L$1000=E$2)*(Input!$O$3:$O$1000=$B6)*(Input!$Y$3:$Y$1000))</f>
        <v>0</v>
      </c>
      <c r="F6" s="14">
        <f ca="1">SUMPRODUCT((Input!$L$3:$L$1000=F$2)*(Input!$O$3:$O$1000=$B6)*(Input!$Y$3:$Y$1000))</f>
        <v>58</v>
      </c>
      <c r="G6" s="14">
        <f ca="1">SUMPRODUCT((Input!$L$3:$L$1000=G$2)*(Input!$O$3:$O$1000=$B6)*(Input!$Y$3:$Y$1000))</f>
        <v>54</v>
      </c>
      <c r="H6" s="14">
        <f ca="1">SUMPRODUCT((Input!$L$3:$L$1000=H$2)*(Input!$O$3:$O$1000=$B6)*(Input!$Y$3:$Y$1000))</f>
        <v>56</v>
      </c>
      <c r="I6" s="14">
        <f ca="1">SUMPRODUCT((Input!$L$3:$L$1000=I$2)*(Input!$O$3:$O$1000=$B6)*(Input!$Y$3:$Y$1000))</f>
        <v>57</v>
      </c>
      <c r="J6" s="14">
        <f ca="1">SUMPRODUCT((Input!$L$3:$L$1000=J$2)*(Input!$O$3:$O$1000=$B6)*(Input!$Y$3:$Y$1000))</f>
        <v>57</v>
      </c>
      <c r="K6" s="14">
        <f ca="1">SUMPRODUCT((Input!$L$3:$L$1000=K$2)*(Input!$O$3:$O$1000=$B6)*(Input!$Y$3:$Y$1000))</f>
        <v>56</v>
      </c>
      <c r="L6" s="14">
        <f ca="1">SUMPRODUCT((Input!$L$3:$L$1000=L$2)*(Input!$O$3:$O$1000=$B6)*(Input!$Y$3:$Y$1000))</f>
        <v>58</v>
      </c>
      <c r="M6" s="14">
        <f ca="1">SUMPRODUCT((Input!$L$3:$L$1000=M$2)*(Input!$O$3:$O$1000=$B6)*(Input!$Y$3:$Y$1000))</f>
        <v>0</v>
      </c>
      <c r="N6" s="14">
        <f ca="1">SUMPRODUCT((Input!$L$3:$L$1000=N$2)*(Input!$O$3:$O$1000=$B6)*(Input!$Y$3:$Y$1000))</f>
        <v>0</v>
      </c>
      <c r="O6" s="14">
        <f ca="1">SUMPRODUCT((Input!$L$3:$L$1000=O$2)*(Input!$O$3:$O$1000=$B6)*(Input!$Y$3:$Y$1000))</f>
        <v>0</v>
      </c>
      <c r="P6" s="14">
        <f ca="1">SUMPRODUCT((Input!$L$3:$L$1000=P$2)*(Input!$O$3:$O$1000=$B6)*(Input!$Y$3:$Y$1000))</f>
        <v>0</v>
      </c>
    </row>
    <row r="7" spans="1:16" x14ac:dyDescent="0.2">
      <c r="A7" s="12">
        <f t="shared" ca="1" si="0"/>
        <v>4</v>
      </c>
      <c r="B7" s="13" t="s">
        <v>9</v>
      </c>
      <c r="C7" s="14">
        <f t="array" aca="1" ref="C7" ca="1">SUM(LARGE(E7:P7,{1,2,3,4,5,6}))</f>
        <v>339</v>
      </c>
      <c r="D7" s="14">
        <f t="shared" ca="1" si="1"/>
        <v>6</v>
      </c>
      <c r="E7" s="14">
        <f ca="1">SUMPRODUCT((Input!$L$3:$L$1000=E$2)*(Input!$O$3:$O$1000=$B7)*(Input!$Y$3:$Y$1000))</f>
        <v>0</v>
      </c>
      <c r="F7" s="14">
        <f ca="1">SUMPRODUCT((Input!$L$3:$L$1000=F$2)*(Input!$O$3:$O$1000=$B7)*(Input!$Y$3:$Y$1000))</f>
        <v>59</v>
      </c>
      <c r="G7" s="14">
        <f ca="1">SUMPRODUCT((Input!$L$3:$L$1000=G$2)*(Input!$O$3:$O$1000=$B7)*(Input!$Y$3:$Y$1000))</f>
        <v>56</v>
      </c>
      <c r="H7" s="14">
        <f ca="1">SUMPRODUCT((Input!$L$3:$L$1000=H$2)*(Input!$O$3:$O$1000=$B7)*(Input!$Y$3:$Y$1000))</f>
        <v>55</v>
      </c>
      <c r="I7" s="14">
        <f ca="1">SUMPRODUCT((Input!$L$3:$L$1000=I$2)*(Input!$O$3:$O$1000=$B7)*(Input!$Y$3:$Y$1000))</f>
        <v>0</v>
      </c>
      <c r="J7" s="14">
        <f ca="1">SUMPRODUCT((Input!$L$3:$L$1000=J$2)*(Input!$O$3:$O$1000=$B7)*(Input!$Y$3:$Y$1000))</f>
        <v>56</v>
      </c>
      <c r="K7" s="14">
        <f ca="1">SUMPRODUCT((Input!$L$3:$L$1000=K$2)*(Input!$O$3:$O$1000=$B7)*(Input!$Y$3:$Y$1000))</f>
        <v>57</v>
      </c>
      <c r="L7" s="14">
        <f ca="1">SUMPRODUCT((Input!$L$3:$L$1000=L$2)*(Input!$O$3:$O$1000=$B7)*(Input!$Y$3:$Y$1000))</f>
        <v>0</v>
      </c>
      <c r="M7" s="14">
        <f ca="1">SUMPRODUCT((Input!$L$3:$L$1000=M$2)*(Input!$O$3:$O$1000=$B7)*(Input!$Y$3:$Y$1000))</f>
        <v>56</v>
      </c>
      <c r="N7" s="14">
        <f ca="1">SUMPRODUCT((Input!$L$3:$L$1000=N$2)*(Input!$O$3:$O$1000=$B7)*(Input!$Y$3:$Y$1000))</f>
        <v>0</v>
      </c>
      <c r="O7" s="14">
        <f ca="1">SUMPRODUCT((Input!$L$3:$L$1000=O$2)*(Input!$O$3:$O$1000=$B7)*(Input!$Y$3:$Y$1000))</f>
        <v>0</v>
      </c>
      <c r="P7" s="14">
        <f ca="1">SUMPRODUCT((Input!$L$3:$L$1000=P$2)*(Input!$O$3:$O$1000=$B7)*(Input!$Y$3:$Y$1000))</f>
        <v>0</v>
      </c>
    </row>
    <row r="8" spans="1:16" x14ac:dyDescent="0.2">
      <c r="A8" s="12">
        <f t="shared" ca="1" si="0"/>
        <v>5</v>
      </c>
      <c r="B8" s="13" t="s">
        <v>10</v>
      </c>
      <c r="C8" s="14">
        <f t="array" aca="1" ref="C8" ca="1">SUM(LARGE(E8:P8,{1,2,3,4,5,6}))</f>
        <v>292</v>
      </c>
      <c r="D8" s="14">
        <f t="shared" ca="1" si="1"/>
        <v>5</v>
      </c>
      <c r="E8" s="14">
        <f ca="1">SUMPRODUCT((Input!$L$3:$L$1000=E$2)*(Input!$O$3:$O$1000=$B8)*(Input!$Y$3:$Y$1000))</f>
        <v>0</v>
      </c>
      <c r="F8" s="14">
        <f ca="1">SUMPRODUCT((Input!$L$3:$L$1000=F$2)*(Input!$O$3:$O$1000=$B8)*(Input!$Y$3:$Y$1000))</f>
        <v>0</v>
      </c>
      <c r="G8" s="14">
        <f ca="1">SUMPRODUCT((Input!$L$3:$L$1000=G$2)*(Input!$O$3:$O$1000=$B8)*(Input!$Y$3:$Y$1000))</f>
        <v>59</v>
      </c>
      <c r="H8" s="14">
        <f ca="1">SUMPRODUCT((Input!$L$3:$L$1000=H$2)*(Input!$O$3:$O$1000=$B8)*(Input!$Y$3:$Y$1000))</f>
        <v>58</v>
      </c>
      <c r="I8" s="14">
        <f ca="1">SUMPRODUCT((Input!$L$3:$L$1000=I$2)*(Input!$O$3:$O$1000=$B8)*(Input!$Y$3:$Y$1000))</f>
        <v>59</v>
      </c>
      <c r="J8" s="14">
        <f ca="1">SUMPRODUCT((Input!$L$3:$L$1000=J$2)*(Input!$O$3:$O$1000=$B8)*(Input!$Y$3:$Y$1000))</f>
        <v>0</v>
      </c>
      <c r="K8" s="14">
        <f ca="1">SUMPRODUCT((Input!$L$3:$L$1000=K$2)*(Input!$O$3:$O$1000=$B8)*(Input!$Y$3:$Y$1000))</f>
        <v>0</v>
      </c>
      <c r="L8" s="14">
        <f ca="1">SUMPRODUCT((Input!$L$3:$L$1000=L$2)*(Input!$O$3:$O$1000=$B8)*(Input!$Y$3:$Y$1000))</f>
        <v>59</v>
      </c>
      <c r="M8" s="14">
        <f ca="1">SUMPRODUCT((Input!$L$3:$L$1000=M$2)*(Input!$O$3:$O$1000=$B8)*(Input!$Y$3:$Y$1000))</f>
        <v>57</v>
      </c>
      <c r="N8" s="14">
        <f ca="1">SUMPRODUCT((Input!$L$3:$L$1000=N$2)*(Input!$O$3:$O$1000=$B8)*(Input!$Y$3:$Y$1000))</f>
        <v>0</v>
      </c>
      <c r="O8" s="14">
        <f ca="1">SUMPRODUCT((Input!$L$3:$L$1000=O$2)*(Input!$O$3:$O$1000=$B8)*(Input!$Y$3:$Y$1000))</f>
        <v>0</v>
      </c>
      <c r="P8" s="14">
        <f ca="1">SUMPRODUCT((Input!$L$3:$L$1000=P$2)*(Input!$O$3:$O$1000=$B8)*(Input!$Y$3:$Y$1000))</f>
        <v>0</v>
      </c>
    </row>
    <row r="9" spans="1:16" x14ac:dyDescent="0.2">
      <c r="A9" s="12">
        <f t="shared" ca="1" si="0"/>
        <v>6</v>
      </c>
      <c r="B9" s="13" t="s">
        <v>12</v>
      </c>
      <c r="C9" s="14">
        <f t="array" aca="1" ref="C9" ca="1">SUM(LARGE(E9:P9,{1,2,3,4,5,6}))</f>
        <v>175</v>
      </c>
      <c r="D9" s="14">
        <f t="shared" ca="1" si="1"/>
        <v>3</v>
      </c>
      <c r="E9" s="14">
        <f ca="1">SUMPRODUCT((Input!$L$3:$L$1000=E$2)*(Input!$O$3:$O$1000=$B9)*(Input!$Y$3:$Y$1000))</f>
        <v>0</v>
      </c>
      <c r="F9" s="14">
        <f ca="1">SUMPRODUCT((Input!$L$3:$L$1000=F$2)*(Input!$O$3:$O$1000=$B9)*(Input!$Y$3:$Y$1000))</f>
        <v>0</v>
      </c>
      <c r="G9" s="14">
        <f ca="1">SUMPRODUCT((Input!$L$3:$L$1000=G$2)*(Input!$O$3:$O$1000=$B9)*(Input!$Y$3:$Y$1000))</f>
        <v>58</v>
      </c>
      <c r="H9" s="14">
        <f ca="1">SUMPRODUCT((Input!$L$3:$L$1000=H$2)*(Input!$O$3:$O$1000=$B9)*(Input!$Y$3:$Y$1000))</f>
        <v>0</v>
      </c>
      <c r="I9" s="14">
        <f ca="1">SUMPRODUCT((Input!$L$3:$L$1000=I$2)*(Input!$O$3:$O$1000=$B9)*(Input!$Y$3:$Y$1000))</f>
        <v>0</v>
      </c>
      <c r="J9" s="14">
        <f ca="1">SUMPRODUCT((Input!$L$3:$L$1000=J$2)*(Input!$O$3:$O$1000=$B9)*(Input!$Y$3:$Y$1000))</f>
        <v>0</v>
      </c>
      <c r="K9" s="14">
        <f ca="1">SUMPRODUCT((Input!$L$3:$L$1000=K$2)*(Input!$O$3:$O$1000=$B9)*(Input!$Y$3:$Y$1000))</f>
        <v>59</v>
      </c>
      <c r="L9" s="14">
        <f ca="1">SUMPRODUCT((Input!$L$3:$L$1000=L$2)*(Input!$O$3:$O$1000=$B9)*(Input!$Y$3:$Y$1000))</f>
        <v>0</v>
      </c>
      <c r="M9" s="14">
        <f ca="1">SUMPRODUCT((Input!$L$3:$L$1000=M$2)*(Input!$O$3:$O$1000=$B9)*(Input!$Y$3:$Y$1000))</f>
        <v>58</v>
      </c>
      <c r="N9" s="14">
        <f ca="1">SUMPRODUCT((Input!$L$3:$L$1000=N$2)*(Input!$O$3:$O$1000=$B9)*(Input!$Y$3:$Y$1000))</f>
        <v>0</v>
      </c>
      <c r="O9" s="14">
        <f ca="1">SUMPRODUCT((Input!$L$3:$L$1000=O$2)*(Input!$O$3:$O$1000=$B9)*(Input!$Y$3:$Y$1000))</f>
        <v>0</v>
      </c>
      <c r="P9" s="14">
        <f ca="1">SUMPRODUCT((Input!$L$3:$L$1000=P$2)*(Input!$O$3:$O$1000=$B9)*(Input!$Y$3:$Y$1000))</f>
        <v>0</v>
      </c>
    </row>
    <row r="10" spans="1:16" x14ac:dyDescent="0.2">
      <c r="A10" s="12">
        <f t="shared" ca="1" si="0"/>
        <v>7</v>
      </c>
      <c r="B10" s="13" t="s">
        <v>13</v>
      </c>
      <c r="C10" s="14">
        <f t="array" aca="1" ref="C10" ca="1">SUM(LARGE(E10:P10,{1,2,3,4,5,6}))</f>
        <v>161</v>
      </c>
      <c r="D10" s="14">
        <f t="shared" ca="1" si="1"/>
        <v>3</v>
      </c>
      <c r="E10" s="14">
        <f ca="1">SUMPRODUCT((Input!$L$3:$L$1000=E$2)*(Input!$O$3:$O$1000=$B10)*(Input!$Y$3:$Y$1000))</f>
        <v>0</v>
      </c>
      <c r="F10" s="14">
        <f ca="1">SUMPRODUCT((Input!$L$3:$L$1000=F$2)*(Input!$O$3:$O$1000=$B10)*(Input!$Y$3:$Y$1000))</f>
        <v>0</v>
      </c>
      <c r="G10" s="14">
        <f ca="1">SUMPRODUCT((Input!$L$3:$L$1000=G$2)*(Input!$O$3:$O$1000=$B10)*(Input!$Y$3:$Y$1000))</f>
        <v>52</v>
      </c>
      <c r="H10" s="14">
        <f ca="1">SUMPRODUCT((Input!$L$3:$L$1000=H$2)*(Input!$O$3:$O$1000=$B10)*(Input!$Y$3:$Y$1000))</f>
        <v>0</v>
      </c>
      <c r="I10" s="14">
        <f ca="1">SUMPRODUCT((Input!$L$3:$L$1000=I$2)*(Input!$O$3:$O$1000=$B10)*(Input!$Y$3:$Y$1000))</f>
        <v>0</v>
      </c>
      <c r="J10" s="14">
        <f ca="1">SUMPRODUCT((Input!$L$3:$L$1000=J$2)*(Input!$O$3:$O$1000=$B10)*(Input!$Y$3:$Y$1000))</f>
        <v>55</v>
      </c>
      <c r="K10" s="14">
        <f ca="1">SUMPRODUCT((Input!$L$3:$L$1000=K$2)*(Input!$O$3:$O$1000=$B10)*(Input!$Y$3:$Y$1000))</f>
        <v>0</v>
      </c>
      <c r="L10" s="14">
        <f ca="1">SUMPRODUCT((Input!$L$3:$L$1000=L$2)*(Input!$O$3:$O$1000=$B10)*(Input!$Y$3:$Y$1000))</f>
        <v>0</v>
      </c>
      <c r="M10" s="14">
        <f ca="1">SUMPRODUCT((Input!$L$3:$L$1000=M$2)*(Input!$O$3:$O$1000=$B10)*(Input!$Y$3:$Y$1000))</f>
        <v>54</v>
      </c>
      <c r="N10" s="14">
        <f ca="1">SUMPRODUCT((Input!$L$3:$L$1000=N$2)*(Input!$O$3:$O$1000=$B10)*(Input!$Y$3:$Y$1000))</f>
        <v>0</v>
      </c>
      <c r="O10" s="14">
        <f ca="1">SUMPRODUCT((Input!$L$3:$L$1000=O$2)*(Input!$O$3:$O$1000=$B10)*(Input!$Y$3:$Y$1000))</f>
        <v>0</v>
      </c>
      <c r="P10" s="14">
        <f ca="1">SUMPRODUCT((Input!$L$3:$L$1000=P$2)*(Input!$O$3:$O$1000=$B10)*(Input!$Y$3:$Y$1000))</f>
        <v>0</v>
      </c>
    </row>
    <row r="11" spans="1:16" x14ac:dyDescent="0.2">
      <c r="A11" s="12">
        <f t="shared" ca="1" si="0"/>
        <v>8</v>
      </c>
      <c r="B11" s="13" t="s">
        <v>15</v>
      </c>
      <c r="C11" s="14">
        <f t="array" aca="1" ref="C11" ca="1">SUM(LARGE(E11:P11,{1,2,3,4,5,6}))</f>
        <v>119</v>
      </c>
      <c r="D11" s="14">
        <f t="shared" ca="1" si="1"/>
        <v>2</v>
      </c>
      <c r="E11" s="14">
        <f ca="1">SUMPRODUCT((Input!$L$3:$L$1000=E$2)*(Input!$O$3:$O$1000=$B11)*(Input!$Y$3:$Y$1000))</f>
        <v>0</v>
      </c>
      <c r="F11" s="14">
        <f ca="1">SUMPRODUCT((Input!$L$3:$L$1000=F$2)*(Input!$O$3:$O$1000=$B11)*(Input!$Y$3:$Y$1000))</f>
        <v>60</v>
      </c>
      <c r="G11" s="14">
        <f ca="1">SUMPRODUCT((Input!$L$3:$L$1000=G$2)*(Input!$O$3:$O$1000=$B11)*(Input!$Y$3:$Y$1000))</f>
        <v>0</v>
      </c>
      <c r="H11" s="14">
        <f ca="1">SUMPRODUCT((Input!$L$3:$L$1000=H$2)*(Input!$O$3:$O$1000=$B11)*(Input!$Y$3:$Y$1000))</f>
        <v>59</v>
      </c>
      <c r="I11" s="14">
        <f ca="1">SUMPRODUCT((Input!$L$3:$L$1000=I$2)*(Input!$O$3:$O$1000=$B11)*(Input!$Y$3:$Y$1000))</f>
        <v>0</v>
      </c>
      <c r="J11" s="14">
        <f ca="1">SUMPRODUCT((Input!$L$3:$L$1000=J$2)*(Input!$O$3:$O$1000=$B11)*(Input!$Y$3:$Y$1000))</f>
        <v>0</v>
      </c>
      <c r="K11" s="14">
        <f ca="1">SUMPRODUCT((Input!$L$3:$L$1000=K$2)*(Input!$O$3:$O$1000=$B11)*(Input!$Y$3:$Y$1000))</f>
        <v>0</v>
      </c>
      <c r="L11" s="14">
        <f ca="1">SUMPRODUCT((Input!$L$3:$L$1000=L$2)*(Input!$O$3:$O$1000=$B11)*(Input!$Y$3:$Y$1000))</f>
        <v>0</v>
      </c>
      <c r="M11" s="14">
        <f ca="1">SUMPRODUCT((Input!$L$3:$L$1000=M$2)*(Input!$O$3:$O$1000=$B11)*(Input!$Y$3:$Y$1000))</f>
        <v>0</v>
      </c>
      <c r="N11" s="14">
        <f ca="1">SUMPRODUCT((Input!$L$3:$L$1000=N$2)*(Input!$O$3:$O$1000=$B11)*(Input!$Y$3:$Y$1000))</f>
        <v>0</v>
      </c>
      <c r="O11" s="14">
        <f ca="1">SUMPRODUCT((Input!$L$3:$L$1000=O$2)*(Input!$O$3:$O$1000=$B11)*(Input!$Y$3:$Y$1000))</f>
        <v>0</v>
      </c>
      <c r="P11" s="14">
        <f ca="1">SUMPRODUCT((Input!$L$3:$L$1000=P$2)*(Input!$O$3:$O$1000=$B11)*(Input!$Y$3:$Y$1000))</f>
        <v>0</v>
      </c>
    </row>
    <row r="12" spans="1:16" x14ac:dyDescent="0.2">
      <c r="A12" s="12">
        <f t="shared" ca="1" si="0"/>
        <v>9</v>
      </c>
      <c r="B12" s="13" t="s">
        <v>16</v>
      </c>
      <c r="C12" s="14">
        <f t="array" aca="1" ref="C12" ca="1">SUM(LARGE(E12:P12,{1,2,3,4,5,6}))</f>
        <v>108</v>
      </c>
      <c r="D12" s="14">
        <f t="shared" ca="1" si="1"/>
        <v>2</v>
      </c>
      <c r="E12" s="14">
        <f ca="1">SUMPRODUCT((Input!$L$3:$L$1000=E$2)*(Input!$O$3:$O$1000=$B12)*(Input!$Y$3:$Y$1000))</f>
        <v>0</v>
      </c>
      <c r="F12" s="14">
        <f ca="1">SUMPRODUCT((Input!$L$3:$L$1000=F$2)*(Input!$O$3:$O$1000=$B12)*(Input!$Y$3:$Y$1000))</f>
        <v>0</v>
      </c>
      <c r="G12" s="14">
        <f ca="1">SUMPRODUCT((Input!$L$3:$L$1000=G$2)*(Input!$O$3:$O$1000=$B12)*(Input!$Y$3:$Y$1000))</f>
        <v>53</v>
      </c>
      <c r="H12" s="14">
        <f ca="1">SUMPRODUCT((Input!$L$3:$L$1000=H$2)*(Input!$O$3:$O$1000=$B12)*(Input!$Y$3:$Y$1000))</f>
        <v>0</v>
      </c>
      <c r="I12" s="14">
        <f ca="1">SUMPRODUCT((Input!$L$3:$L$1000=I$2)*(Input!$O$3:$O$1000=$B12)*(Input!$Y$3:$Y$1000))</f>
        <v>0</v>
      </c>
      <c r="J12" s="14">
        <f ca="1">SUMPRODUCT((Input!$L$3:$L$1000=J$2)*(Input!$O$3:$O$1000=$B12)*(Input!$Y$3:$Y$1000))</f>
        <v>0</v>
      </c>
      <c r="K12" s="14">
        <f ca="1">SUMPRODUCT((Input!$L$3:$L$1000=K$2)*(Input!$O$3:$O$1000=$B12)*(Input!$Y$3:$Y$1000))</f>
        <v>0</v>
      </c>
      <c r="L12" s="14">
        <f ca="1">SUMPRODUCT((Input!$L$3:$L$1000=L$2)*(Input!$O$3:$O$1000=$B12)*(Input!$Y$3:$Y$1000))</f>
        <v>0</v>
      </c>
      <c r="M12" s="14">
        <f ca="1">SUMPRODUCT((Input!$L$3:$L$1000=M$2)*(Input!$O$3:$O$1000=$B12)*(Input!$Y$3:$Y$1000))</f>
        <v>55</v>
      </c>
      <c r="N12" s="14">
        <f ca="1">SUMPRODUCT((Input!$L$3:$L$1000=N$2)*(Input!$O$3:$O$1000=$B12)*(Input!$Y$3:$Y$1000))</f>
        <v>0</v>
      </c>
      <c r="O12" s="14">
        <f ca="1">SUMPRODUCT((Input!$L$3:$L$1000=O$2)*(Input!$O$3:$O$1000=$B12)*(Input!$Y$3:$Y$1000))</f>
        <v>0</v>
      </c>
      <c r="P12" s="14">
        <f ca="1">SUMPRODUCT((Input!$L$3:$L$1000=P$2)*(Input!$O$3:$O$1000=$B12)*(Input!$Y$3:$Y$1000))</f>
        <v>0</v>
      </c>
    </row>
    <row r="13" spans="1:16" x14ac:dyDescent="0.2">
      <c r="A13" s="12">
        <f t="shared" ca="1" si="0"/>
        <v>10</v>
      </c>
      <c r="B13" s="13" t="s">
        <v>19</v>
      </c>
      <c r="C13" s="14">
        <f t="array" aca="1" ref="C13" ca="1">SUM(LARGE(E13:P13,{1,2,3,4,5,6}))</f>
        <v>107</v>
      </c>
      <c r="D13" s="14">
        <f t="shared" ca="1" si="1"/>
        <v>2</v>
      </c>
      <c r="E13" s="14">
        <f ca="1">SUMPRODUCT((Input!$L$3:$L$1000=E$2)*(Input!$O$3:$O$1000=$B13)*(Input!$Y$3:$Y$1000))</f>
        <v>0</v>
      </c>
      <c r="F13" s="14">
        <f ca="1">SUMPRODUCT((Input!$L$3:$L$1000=F$2)*(Input!$O$3:$O$1000=$B13)*(Input!$Y$3:$Y$1000))</f>
        <v>0</v>
      </c>
      <c r="G13" s="14">
        <f ca="1">SUMPRODUCT((Input!$L$3:$L$1000=G$2)*(Input!$O$3:$O$1000=$B13)*(Input!$Y$3:$Y$1000))</f>
        <v>49</v>
      </c>
      <c r="H13" s="14">
        <f ca="1">SUMPRODUCT((Input!$L$3:$L$1000=H$2)*(Input!$O$3:$O$1000=$B13)*(Input!$Y$3:$Y$1000))</f>
        <v>0</v>
      </c>
      <c r="I13" s="14">
        <f ca="1">SUMPRODUCT((Input!$L$3:$L$1000=I$2)*(Input!$O$3:$O$1000=$B13)*(Input!$Y$3:$Y$1000))</f>
        <v>0</v>
      </c>
      <c r="J13" s="14">
        <f ca="1">SUMPRODUCT((Input!$L$3:$L$1000=J$2)*(Input!$O$3:$O$1000=$B13)*(Input!$Y$3:$Y$1000))</f>
        <v>58</v>
      </c>
      <c r="K13" s="14">
        <f ca="1">SUMPRODUCT((Input!$L$3:$L$1000=K$2)*(Input!$O$3:$O$1000=$B13)*(Input!$Y$3:$Y$1000))</f>
        <v>0</v>
      </c>
      <c r="L13" s="14">
        <f ca="1">SUMPRODUCT((Input!$L$3:$L$1000=L$2)*(Input!$O$3:$O$1000=$B13)*(Input!$Y$3:$Y$1000))</f>
        <v>0</v>
      </c>
      <c r="M13" s="14">
        <f ca="1">SUMPRODUCT((Input!$L$3:$L$1000=M$2)*(Input!$O$3:$O$1000=$B13)*(Input!$Y$3:$Y$1000))</f>
        <v>0</v>
      </c>
      <c r="N13" s="14">
        <f ca="1">SUMPRODUCT((Input!$L$3:$L$1000=N$2)*(Input!$O$3:$O$1000=$B13)*(Input!$Y$3:$Y$1000))</f>
        <v>0</v>
      </c>
      <c r="O13" s="14">
        <f ca="1">SUMPRODUCT((Input!$L$3:$L$1000=O$2)*(Input!$O$3:$O$1000=$B13)*(Input!$Y$3:$Y$1000))</f>
        <v>0</v>
      </c>
      <c r="P13" s="14">
        <f ca="1">SUMPRODUCT((Input!$L$3:$L$1000=P$2)*(Input!$O$3:$O$1000=$B13)*(Input!$Y$3:$Y$1000))</f>
        <v>0</v>
      </c>
    </row>
    <row r="14" spans="1:16" x14ac:dyDescent="0.2">
      <c r="A14" s="12">
        <f t="shared" ca="1" si="0"/>
        <v>11</v>
      </c>
      <c r="B14" s="13" t="s">
        <v>20</v>
      </c>
      <c r="C14" s="14">
        <f t="array" aca="1" ref="C14" ca="1">SUM(LARGE(E14:P14,{1,2,3,4,5,6}))</f>
        <v>105</v>
      </c>
      <c r="D14" s="14">
        <f t="shared" ca="1" si="1"/>
        <v>2</v>
      </c>
      <c r="E14" s="14">
        <f ca="1">SUMPRODUCT((Input!$L$3:$L$1000=E$2)*(Input!$O$3:$O$1000=$B14)*(Input!$Y$3:$Y$1000))</f>
        <v>0</v>
      </c>
      <c r="F14" s="14">
        <f ca="1">SUMPRODUCT((Input!$L$3:$L$1000=F$2)*(Input!$O$3:$O$1000=$B14)*(Input!$Y$3:$Y$1000))</f>
        <v>0</v>
      </c>
      <c r="G14" s="14">
        <f ca="1">SUMPRODUCT((Input!$L$3:$L$1000=G$2)*(Input!$O$3:$O$1000=$B14)*(Input!$Y$3:$Y$1000))</f>
        <v>51</v>
      </c>
      <c r="H14" s="14">
        <f ca="1">SUMPRODUCT((Input!$L$3:$L$1000=H$2)*(Input!$O$3:$O$1000=$B14)*(Input!$Y$3:$Y$1000))</f>
        <v>0</v>
      </c>
      <c r="I14" s="14">
        <f ca="1">SUMPRODUCT((Input!$L$3:$L$1000=I$2)*(Input!$O$3:$O$1000=$B14)*(Input!$Y$3:$Y$1000))</f>
        <v>0</v>
      </c>
      <c r="J14" s="14">
        <f ca="1">SUMPRODUCT((Input!$L$3:$L$1000=J$2)*(Input!$O$3:$O$1000=$B14)*(Input!$Y$3:$Y$1000))</f>
        <v>54</v>
      </c>
      <c r="K14" s="14">
        <f ca="1">SUMPRODUCT((Input!$L$3:$L$1000=K$2)*(Input!$O$3:$O$1000=$B14)*(Input!$Y$3:$Y$1000))</f>
        <v>0</v>
      </c>
      <c r="L14" s="14">
        <f ca="1">SUMPRODUCT((Input!$L$3:$L$1000=L$2)*(Input!$O$3:$O$1000=$B14)*(Input!$Y$3:$Y$1000))</f>
        <v>0</v>
      </c>
      <c r="M14" s="14">
        <f ca="1">SUMPRODUCT((Input!$L$3:$L$1000=M$2)*(Input!$O$3:$O$1000=$B14)*(Input!$Y$3:$Y$1000))</f>
        <v>0</v>
      </c>
      <c r="N14" s="14">
        <f ca="1">SUMPRODUCT((Input!$L$3:$L$1000=N$2)*(Input!$O$3:$O$1000=$B14)*(Input!$Y$3:$Y$1000))</f>
        <v>0</v>
      </c>
      <c r="O14" s="14">
        <f ca="1">SUMPRODUCT((Input!$L$3:$L$1000=O$2)*(Input!$O$3:$O$1000=$B14)*(Input!$Y$3:$Y$1000))</f>
        <v>0</v>
      </c>
      <c r="P14" s="14">
        <f ca="1">SUMPRODUCT((Input!$L$3:$L$1000=P$2)*(Input!$O$3:$O$1000=$B14)*(Input!$Y$3:$Y$1000))</f>
        <v>0</v>
      </c>
    </row>
    <row r="15" spans="1:16" x14ac:dyDescent="0.2">
      <c r="A15" s="12">
        <f t="shared" ca="1" si="0"/>
        <v>12</v>
      </c>
      <c r="B15" s="13" t="s">
        <v>18</v>
      </c>
      <c r="C15" s="14">
        <f t="array" aca="1" ref="C15" ca="1">SUM(LARGE(E15:P15,{1,2,3,4,5,6}))</f>
        <v>103</v>
      </c>
      <c r="D15" s="14">
        <f t="shared" ca="1" si="1"/>
        <v>2</v>
      </c>
      <c r="E15" s="14">
        <f ca="1">SUMPRODUCT((Input!$L$3:$L$1000=E$2)*(Input!$O$3:$O$1000=$B15)*(Input!$Y$3:$Y$1000))</f>
        <v>0</v>
      </c>
      <c r="F15" s="14">
        <f ca="1">SUMPRODUCT((Input!$L$3:$L$1000=F$2)*(Input!$O$3:$O$1000=$B15)*(Input!$Y$3:$Y$1000))</f>
        <v>0</v>
      </c>
      <c r="G15" s="14">
        <f ca="1">SUMPRODUCT((Input!$L$3:$L$1000=G$2)*(Input!$O$3:$O$1000=$B15)*(Input!$Y$3:$Y$1000))</f>
        <v>50</v>
      </c>
      <c r="H15" s="14">
        <f ca="1">SUMPRODUCT((Input!$L$3:$L$1000=H$2)*(Input!$O$3:$O$1000=$B15)*(Input!$Y$3:$Y$1000))</f>
        <v>0</v>
      </c>
      <c r="I15" s="14">
        <f ca="1">SUMPRODUCT((Input!$L$3:$L$1000=I$2)*(Input!$O$3:$O$1000=$B15)*(Input!$Y$3:$Y$1000))</f>
        <v>0</v>
      </c>
      <c r="J15" s="14">
        <f ca="1">SUMPRODUCT((Input!$L$3:$L$1000=J$2)*(Input!$O$3:$O$1000=$B15)*(Input!$Y$3:$Y$1000))</f>
        <v>53</v>
      </c>
      <c r="K15" s="14">
        <f ca="1">SUMPRODUCT((Input!$L$3:$L$1000=K$2)*(Input!$O$3:$O$1000=$B15)*(Input!$Y$3:$Y$1000))</f>
        <v>0</v>
      </c>
      <c r="L15" s="14">
        <f ca="1">SUMPRODUCT((Input!$L$3:$L$1000=L$2)*(Input!$O$3:$O$1000=$B15)*(Input!$Y$3:$Y$1000))</f>
        <v>0</v>
      </c>
      <c r="M15" s="14">
        <f ca="1">SUMPRODUCT((Input!$L$3:$L$1000=M$2)*(Input!$O$3:$O$1000=$B15)*(Input!$Y$3:$Y$1000))</f>
        <v>0</v>
      </c>
      <c r="N15" s="14">
        <f ca="1">SUMPRODUCT((Input!$L$3:$L$1000=N$2)*(Input!$O$3:$O$1000=$B15)*(Input!$Y$3:$Y$1000))</f>
        <v>0</v>
      </c>
      <c r="O15" s="14">
        <f ca="1">SUMPRODUCT((Input!$L$3:$L$1000=O$2)*(Input!$O$3:$O$1000=$B15)*(Input!$Y$3:$Y$1000))</f>
        <v>0</v>
      </c>
      <c r="P15" s="14">
        <f ca="1">SUMPRODUCT((Input!$L$3:$L$1000=P$2)*(Input!$O$3:$O$1000=$B15)*(Input!$Y$3:$Y$1000))</f>
        <v>0</v>
      </c>
    </row>
    <row r="16" spans="1:16" x14ac:dyDescent="0.2">
      <c r="A16" s="12">
        <f t="shared" ca="1" si="0"/>
        <v>13</v>
      </c>
      <c r="B16" s="13" t="s">
        <v>21</v>
      </c>
      <c r="C16" s="14">
        <f t="array" aca="1" ref="C16" ca="1">SUM(LARGE(E16:P16,{1,2,3,4,5,6}))</f>
        <v>94</v>
      </c>
      <c r="D16" s="14">
        <f t="shared" ca="1" si="1"/>
        <v>2</v>
      </c>
      <c r="E16" s="14">
        <f ca="1">SUMPRODUCT((Input!$L$3:$L$1000=E$2)*(Input!$O$3:$O$1000=$B16)*(Input!$Y$3:$Y$1000))</f>
        <v>0</v>
      </c>
      <c r="F16" s="14">
        <f ca="1">SUMPRODUCT((Input!$L$3:$L$1000=F$2)*(Input!$O$3:$O$1000=$B16)*(Input!$Y$3:$Y$1000))</f>
        <v>0</v>
      </c>
      <c r="G16" s="14">
        <f ca="1">SUMPRODUCT((Input!$L$3:$L$1000=G$2)*(Input!$O$3:$O$1000=$B16)*(Input!$Y$3:$Y$1000))</f>
        <v>44</v>
      </c>
      <c r="H16" s="14">
        <f ca="1">SUMPRODUCT((Input!$L$3:$L$1000=H$2)*(Input!$O$3:$O$1000=$B16)*(Input!$Y$3:$Y$1000))</f>
        <v>0</v>
      </c>
      <c r="I16" s="14">
        <f ca="1">SUMPRODUCT((Input!$L$3:$L$1000=I$2)*(Input!$O$3:$O$1000=$B16)*(Input!$Y$3:$Y$1000))</f>
        <v>0</v>
      </c>
      <c r="J16" s="14">
        <f ca="1">SUMPRODUCT((Input!$L$3:$L$1000=J$2)*(Input!$O$3:$O$1000=$B16)*(Input!$Y$3:$Y$1000))</f>
        <v>50</v>
      </c>
      <c r="K16" s="14">
        <f ca="1">SUMPRODUCT((Input!$L$3:$L$1000=K$2)*(Input!$O$3:$O$1000=$B16)*(Input!$Y$3:$Y$1000))</f>
        <v>0</v>
      </c>
      <c r="L16" s="14">
        <f ca="1">SUMPRODUCT((Input!$L$3:$L$1000=L$2)*(Input!$O$3:$O$1000=$B16)*(Input!$Y$3:$Y$1000))</f>
        <v>0</v>
      </c>
      <c r="M16" s="14">
        <f ca="1">SUMPRODUCT((Input!$L$3:$L$1000=M$2)*(Input!$O$3:$O$1000=$B16)*(Input!$Y$3:$Y$1000))</f>
        <v>0</v>
      </c>
      <c r="N16" s="14">
        <f ca="1">SUMPRODUCT((Input!$L$3:$L$1000=N$2)*(Input!$O$3:$O$1000=$B16)*(Input!$Y$3:$Y$1000))</f>
        <v>0</v>
      </c>
      <c r="O16" s="14">
        <f ca="1">SUMPRODUCT((Input!$L$3:$L$1000=O$2)*(Input!$O$3:$O$1000=$B16)*(Input!$Y$3:$Y$1000))</f>
        <v>0</v>
      </c>
      <c r="P16" s="14">
        <f ca="1">SUMPRODUCT((Input!$L$3:$L$1000=P$2)*(Input!$O$3:$O$1000=$B16)*(Input!$Y$3:$Y$1000))</f>
        <v>0</v>
      </c>
    </row>
    <row r="17" spans="1:16" x14ac:dyDescent="0.2">
      <c r="A17" s="12">
        <f t="shared" ca="1" si="0"/>
        <v>14</v>
      </c>
      <c r="B17" s="13" t="s">
        <v>22</v>
      </c>
      <c r="C17" s="14">
        <f t="array" aca="1" ref="C17" ca="1">SUM(LARGE(E17:P17,{1,2,3,4,5,6}))</f>
        <v>60</v>
      </c>
      <c r="D17" s="14">
        <f t="shared" ca="1" si="1"/>
        <v>1</v>
      </c>
      <c r="E17" s="14">
        <f ca="1">SUMPRODUCT((Input!$L$3:$L$1000=E$2)*(Input!$O$3:$O$1000=$B17)*(Input!$Y$3:$Y$1000))</f>
        <v>0</v>
      </c>
      <c r="F17" s="14">
        <f ca="1">SUMPRODUCT((Input!$L$3:$L$1000=F$2)*(Input!$O$3:$O$1000=$B17)*(Input!$Y$3:$Y$1000))</f>
        <v>0</v>
      </c>
      <c r="G17" s="14">
        <f ca="1">SUMPRODUCT((Input!$L$3:$L$1000=G$2)*(Input!$O$3:$O$1000=$B17)*(Input!$Y$3:$Y$1000))</f>
        <v>0</v>
      </c>
      <c r="H17" s="14">
        <f ca="1">SUMPRODUCT((Input!$L$3:$L$1000=H$2)*(Input!$O$3:$O$1000=$B17)*(Input!$Y$3:$Y$1000))</f>
        <v>0</v>
      </c>
      <c r="I17" s="14">
        <f ca="1">SUMPRODUCT((Input!$L$3:$L$1000=I$2)*(Input!$O$3:$O$1000=$B17)*(Input!$Y$3:$Y$1000))</f>
        <v>0</v>
      </c>
      <c r="J17" s="14">
        <f ca="1">SUMPRODUCT((Input!$L$3:$L$1000=J$2)*(Input!$O$3:$O$1000=$B17)*(Input!$Y$3:$Y$1000))</f>
        <v>60</v>
      </c>
      <c r="K17" s="14">
        <f ca="1">SUMPRODUCT((Input!$L$3:$L$1000=K$2)*(Input!$O$3:$O$1000=$B17)*(Input!$Y$3:$Y$1000))</f>
        <v>0</v>
      </c>
      <c r="L17" s="14">
        <f ca="1">SUMPRODUCT((Input!$L$3:$L$1000=L$2)*(Input!$O$3:$O$1000=$B17)*(Input!$Y$3:$Y$1000))</f>
        <v>0</v>
      </c>
      <c r="M17" s="14">
        <f ca="1">SUMPRODUCT((Input!$L$3:$L$1000=M$2)*(Input!$O$3:$O$1000=$B17)*(Input!$Y$3:$Y$1000))</f>
        <v>0</v>
      </c>
      <c r="N17" s="14">
        <f ca="1">SUMPRODUCT((Input!$L$3:$L$1000=N$2)*(Input!$O$3:$O$1000=$B17)*(Input!$Y$3:$Y$1000))</f>
        <v>0</v>
      </c>
      <c r="O17" s="14">
        <f ca="1">SUMPRODUCT((Input!$L$3:$L$1000=O$2)*(Input!$O$3:$O$1000=$B17)*(Input!$Y$3:$Y$1000))</f>
        <v>0</v>
      </c>
      <c r="P17" s="14">
        <f ca="1">SUMPRODUCT((Input!$L$3:$L$1000=P$2)*(Input!$O$3:$O$1000=$B17)*(Input!$Y$3:$Y$1000))</f>
        <v>0</v>
      </c>
    </row>
    <row r="18" spans="1:16" x14ac:dyDescent="0.2">
      <c r="A18" s="12">
        <f t="shared" ca="1" si="0"/>
        <v>15</v>
      </c>
      <c r="B18" s="13" t="s">
        <v>28</v>
      </c>
      <c r="C18" s="14">
        <f t="array" aca="1" ref="C18" ca="1">SUM(LARGE(E18:P18,{1,2,3,4,5,6}))</f>
        <v>55</v>
      </c>
      <c r="D18" s="14">
        <f t="shared" ca="1" si="1"/>
        <v>1</v>
      </c>
      <c r="E18" s="14">
        <f ca="1">SUMPRODUCT((Input!$L$3:$L$1000=E$2)*(Input!$O$3:$O$1000=$B18)*(Input!$Y$3:$Y$1000))</f>
        <v>0</v>
      </c>
      <c r="F18" s="14">
        <f ca="1">SUMPRODUCT((Input!$L$3:$L$1000=F$2)*(Input!$O$3:$O$1000=$B18)*(Input!$Y$3:$Y$1000))</f>
        <v>0</v>
      </c>
      <c r="G18" s="14">
        <f ca="1">SUMPRODUCT((Input!$L$3:$L$1000=G$2)*(Input!$O$3:$O$1000=$B18)*(Input!$Y$3:$Y$1000))</f>
        <v>55</v>
      </c>
      <c r="H18" s="14">
        <f ca="1">SUMPRODUCT((Input!$L$3:$L$1000=H$2)*(Input!$O$3:$O$1000=$B18)*(Input!$Y$3:$Y$1000))</f>
        <v>0</v>
      </c>
      <c r="I18" s="14">
        <f ca="1">SUMPRODUCT((Input!$L$3:$L$1000=I$2)*(Input!$O$3:$O$1000=$B18)*(Input!$Y$3:$Y$1000))</f>
        <v>0</v>
      </c>
      <c r="J18" s="14">
        <f ca="1">SUMPRODUCT((Input!$L$3:$L$1000=J$2)*(Input!$O$3:$O$1000=$B18)*(Input!$Y$3:$Y$1000))</f>
        <v>0</v>
      </c>
      <c r="K18" s="14">
        <f ca="1">SUMPRODUCT((Input!$L$3:$L$1000=K$2)*(Input!$O$3:$O$1000=$B18)*(Input!$Y$3:$Y$1000))</f>
        <v>0</v>
      </c>
      <c r="L18" s="14">
        <f ca="1">SUMPRODUCT((Input!$L$3:$L$1000=L$2)*(Input!$O$3:$O$1000=$B18)*(Input!$Y$3:$Y$1000))</f>
        <v>0</v>
      </c>
      <c r="M18" s="14">
        <f ca="1">SUMPRODUCT((Input!$L$3:$L$1000=M$2)*(Input!$O$3:$O$1000=$B18)*(Input!$Y$3:$Y$1000))</f>
        <v>0</v>
      </c>
      <c r="N18" s="14">
        <f ca="1">SUMPRODUCT((Input!$L$3:$L$1000=N$2)*(Input!$O$3:$O$1000=$B18)*(Input!$Y$3:$Y$1000))</f>
        <v>0</v>
      </c>
      <c r="O18" s="14">
        <f ca="1">SUMPRODUCT((Input!$L$3:$L$1000=O$2)*(Input!$O$3:$O$1000=$B18)*(Input!$Y$3:$Y$1000))</f>
        <v>0</v>
      </c>
      <c r="P18" s="14">
        <f ca="1">SUMPRODUCT((Input!$L$3:$L$1000=P$2)*(Input!$O$3:$O$1000=$B18)*(Input!$Y$3:$Y$1000))</f>
        <v>0</v>
      </c>
    </row>
    <row r="19" spans="1:16" x14ac:dyDescent="0.2">
      <c r="A19" s="12">
        <f t="shared" ca="1" si="0"/>
        <v>15</v>
      </c>
      <c r="B19" s="13" t="s">
        <v>24</v>
      </c>
      <c r="C19" s="14">
        <f t="array" aca="1" ref="C19" ca="1">SUM(LARGE(E19:P19,{1,2,3,4,5,6}))</f>
        <v>55</v>
      </c>
      <c r="D19" s="14">
        <f t="shared" ca="1" si="1"/>
        <v>1</v>
      </c>
      <c r="E19" s="14">
        <f ca="1">SUMPRODUCT((Input!$L$3:$L$1000=E$2)*(Input!$O$3:$O$1000=$B19)*(Input!$Y$3:$Y$1000))</f>
        <v>0</v>
      </c>
      <c r="F19" s="14">
        <f ca="1">SUMPRODUCT((Input!$L$3:$L$1000=F$2)*(Input!$O$3:$O$1000=$B19)*(Input!$Y$3:$Y$1000))</f>
        <v>0</v>
      </c>
      <c r="G19" s="14">
        <f ca="1">SUMPRODUCT((Input!$L$3:$L$1000=G$2)*(Input!$O$3:$O$1000=$B19)*(Input!$Y$3:$Y$1000))</f>
        <v>0</v>
      </c>
      <c r="H19" s="14">
        <f ca="1">SUMPRODUCT((Input!$L$3:$L$1000=H$2)*(Input!$O$3:$O$1000=$B19)*(Input!$Y$3:$Y$1000))</f>
        <v>0</v>
      </c>
      <c r="I19" s="14">
        <f ca="1">SUMPRODUCT((Input!$L$3:$L$1000=I$2)*(Input!$O$3:$O$1000=$B19)*(Input!$Y$3:$Y$1000))</f>
        <v>0</v>
      </c>
      <c r="J19" s="14">
        <f ca="1">SUMPRODUCT((Input!$L$3:$L$1000=J$2)*(Input!$O$3:$O$1000=$B19)*(Input!$Y$3:$Y$1000))</f>
        <v>0</v>
      </c>
      <c r="K19" s="14">
        <f ca="1">SUMPRODUCT((Input!$L$3:$L$1000=K$2)*(Input!$O$3:$O$1000=$B19)*(Input!$Y$3:$Y$1000))</f>
        <v>55</v>
      </c>
      <c r="L19" s="14">
        <f ca="1">SUMPRODUCT((Input!$L$3:$L$1000=L$2)*(Input!$O$3:$O$1000=$B19)*(Input!$Y$3:$Y$1000))</f>
        <v>0</v>
      </c>
      <c r="M19" s="14">
        <f ca="1">SUMPRODUCT((Input!$L$3:$L$1000=M$2)*(Input!$O$3:$O$1000=$B19)*(Input!$Y$3:$Y$1000))</f>
        <v>0</v>
      </c>
      <c r="N19" s="14">
        <f ca="1">SUMPRODUCT((Input!$L$3:$L$1000=N$2)*(Input!$O$3:$O$1000=$B19)*(Input!$Y$3:$Y$1000))</f>
        <v>0</v>
      </c>
      <c r="O19" s="14">
        <f ca="1">SUMPRODUCT((Input!$L$3:$L$1000=O$2)*(Input!$O$3:$O$1000=$B19)*(Input!$Y$3:$Y$1000))</f>
        <v>0</v>
      </c>
      <c r="P19" s="14">
        <f ca="1">SUMPRODUCT((Input!$L$3:$L$1000=P$2)*(Input!$O$3:$O$1000=$B19)*(Input!$Y$3:$Y$1000))</f>
        <v>0</v>
      </c>
    </row>
    <row r="20" spans="1:16" x14ac:dyDescent="0.2">
      <c r="A20" s="12">
        <f t="shared" ca="1" si="0"/>
        <v>17</v>
      </c>
      <c r="B20" s="13" t="s">
        <v>26</v>
      </c>
      <c r="C20" s="14">
        <f t="array" aca="1" ref="C20" ca="1">SUM(LARGE(E20:P20,{1,2,3,4,5,6}))</f>
        <v>52</v>
      </c>
      <c r="D20" s="14">
        <f t="shared" ca="1" si="1"/>
        <v>1</v>
      </c>
      <c r="E20" s="14">
        <f ca="1">SUMPRODUCT((Input!$L$3:$L$1000=E$2)*(Input!$O$3:$O$1000=$B20)*(Input!$Y$3:$Y$1000))</f>
        <v>0</v>
      </c>
      <c r="F20" s="14">
        <f ca="1">SUMPRODUCT((Input!$L$3:$L$1000=F$2)*(Input!$O$3:$O$1000=$B20)*(Input!$Y$3:$Y$1000))</f>
        <v>0</v>
      </c>
      <c r="G20" s="14">
        <f ca="1">SUMPRODUCT((Input!$L$3:$L$1000=G$2)*(Input!$O$3:$O$1000=$B20)*(Input!$Y$3:$Y$1000))</f>
        <v>0</v>
      </c>
      <c r="H20" s="14">
        <f ca="1">SUMPRODUCT((Input!$L$3:$L$1000=H$2)*(Input!$O$3:$O$1000=$B20)*(Input!$Y$3:$Y$1000))</f>
        <v>0</v>
      </c>
      <c r="I20" s="14">
        <f ca="1">SUMPRODUCT((Input!$L$3:$L$1000=I$2)*(Input!$O$3:$O$1000=$B20)*(Input!$Y$3:$Y$1000))</f>
        <v>0</v>
      </c>
      <c r="J20" s="14">
        <f ca="1">SUMPRODUCT((Input!$L$3:$L$1000=J$2)*(Input!$O$3:$O$1000=$B20)*(Input!$Y$3:$Y$1000))</f>
        <v>52</v>
      </c>
      <c r="K20" s="14">
        <f ca="1">SUMPRODUCT((Input!$L$3:$L$1000=K$2)*(Input!$O$3:$O$1000=$B20)*(Input!$Y$3:$Y$1000))</f>
        <v>0</v>
      </c>
      <c r="L20" s="14">
        <f ca="1">SUMPRODUCT((Input!$L$3:$L$1000=L$2)*(Input!$O$3:$O$1000=$B20)*(Input!$Y$3:$Y$1000))</f>
        <v>0</v>
      </c>
      <c r="M20" s="14">
        <f ca="1">SUMPRODUCT((Input!$L$3:$L$1000=M$2)*(Input!$O$3:$O$1000=$B20)*(Input!$Y$3:$Y$1000))</f>
        <v>0</v>
      </c>
      <c r="N20" s="14">
        <f ca="1">SUMPRODUCT((Input!$L$3:$L$1000=N$2)*(Input!$O$3:$O$1000=$B20)*(Input!$Y$3:$Y$1000))</f>
        <v>0</v>
      </c>
      <c r="O20" s="14">
        <f ca="1">SUMPRODUCT((Input!$L$3:$L$1000=O$2)*(Input!$O$3:$O$1000=$B20)*(Input!$Y$3:$Y$1000))</f>
        <v>0</v>
      </c>
      <c r="P20" s="14">
        <f ca="1">SUMPRODUCT((Input!$L$3:$L$1000=P$2)*(Input!$O$3:$O$1000=$B20)*(Input!$Y$3:$Y$1000))</f>
        <v>0</v>
      </c>
    </row>
    <row r="21" spans="1:16" x14ac:dyDescent="0.2">
      <c r="A21" s="12">
        <f t="shared" ca="1" si="0"/>
        <v>18</v>
      </c>
      <c r="B21" s="13" t="s">
        <v>27</v>
      </c>
      <c r="C21" s="14">
        <f t="array" aca="1" ref="C21" ca="1">SUM(LARGE(E21:P21,{1,2,3,4,5,6}))</f>
        <v>51</v>
      </c>
      <c r="D21" s="14">
        <f t="shared" ca="1" si="1"/>
        <v>1</v>
      </c>
      <c r="E21" s="14">
        <f ca="1">SUMPRODUCT((Input!$L$3:$L$1000=E$2)*(Input!$O$3:$O$1000=$B21)*(Input!$Y$3:$Y$1000))</f>
        <v>0</v>
      </c>
      <c r="F21" s="14">
        <f ca="1">SUMPRODUCT((Input!$L$3:$L$1000=F$2)*(Input!$O$3:$O$1000=$B21)*(Input!$Y$3:$Y$1000))</f>
        <v>0</v>
      </c>
      <c r="G21" s="14">
        <f ca="1">SUMPRODUCT((Input!$L$3:$L$1000=G$2)*(Input!$O$3:$O$1000=$B21)*(Input!$Y$3:$Y$1000))</f>
        <v>0</v>
      </c>
      <c r="H21" s="14">
        <f ca="1">SUMPRODUCT((Input!$L$3:$L$1000=H$2)*(Input!$O$3:$O$1000=$B21)*(Input!$Y$3:$Y$1000))</f>
        <v>0</v>
      </c>
      <c r="I21" s="14">
        <f ca="1">SUMPRODUCT((Input!$L$3:$L$1000=I$2)*(Input!$O$3:$O$1000=$B21)*(Input!$Y$3:$Y$1000))</f>
        <v>0</v>
      </c>
      <c r="J21" s="14">
        <f ca="1">SUMPRODUCT((Input!$L$3:$L$1000=J$2)*(Input!$O$3:$O$1000=$B21)*(Input!$Y$3:$Y$1000))</f>
        <v>51</v>
      </c>
      <c r="K21" s="14">
        <f ca="1">SUMPRODUCT((Input!$L$3:$L$1000=K$2)*(Input!$O$3:$O$1000=$B21)*(Input!$Y$3:$Y$1000))</f>
        <v>0</v>
      </c>
      <c r="L21" s="14">
        <f ca="1">SUMPRODUCT((Input!$L$3:$L$1000=L$2)*(Input!$O$3:$O$1000=$B21)*(Input!$Y$3:$Y$1000))</f>
        <v>0</v>
      </c>
      <c r="M21" s="14">
        <f ca="1">SUMPRODUCT((Input!$L$3:$L$1000=M$2)*(Input!$O$3:$O$1000=$B21)*(Input!$Y$3:$Y$1000))</f>
        <v>0</v>
      </c>
      <c r="N21" s="14">
        <f ca="1">SUMPRODUCT((Input!$L$3:$L$1000=N$2)*(Input!$O$3:$O$1000=$B21)*(Input!$Y$3:$Y$1000))</f>
        <v>0</v>
      </c>
      <c r="O21" s="14">
        <f ca="1">SUMPRODUCT((Input!$L$3:$L$1000=O$2)*(Input!$O$3:$O$1000=$B21)*(Input!$Y$3:$Y$1000))</f>
        <v>0</v>
      </c>
      <c r="P21" s="14">
        <f ca="1">SUMPRODUCT((Input!$L$3:$L$1000=P$2)*(Input!$O$3:$O$1000=$B21)*(Input!$Y$3:$Y$1000))</f>
        <v>0</v>
      </c>
    </row>
    <row r="22" spans="1:16" x14ac:dyDescent="0.2">
      <c r="A22" s="12">
        <f t="shared" ca="1" si="0"/>
        <v>19</v>
      </c>
      <c r="B22" s="13" t="s">
        <v>30</v>
      </c>
      <c r="C22" s="14">
        <f t="array" aca="1" ref="C22" ca="1">SUM(LARGE(E22:P22,{1,2,3,4,5,6}))</f>
        <v>48</v>
      </c>
      <c r="D22" s="14">
        <f t="shared" ca="1" si="1"/>
        <v>1</v>
      </c>
      <c r="E22" s="14">
        <f ca="1">SUMPRODUCT((Input!$L$3:$L$1000=E$2)*(Input!$O$3:$O$1000=$B22)*(Input!$Y$3:$Y$1000))</f>
        <v>0</v>
      </c>
      <c r="F22" s="14">
        <f ca="1">SUMPRODUCT((Input!$L$3:$L$1000=F$2)*(Input!$O$3:$O$1000=$B22)*(Input!$Y$3:$Y$1000))</f>
        <v>0</v>
      </c>
      <c r="G22" s="14">
        <f ca="1">SUMPRODUCT((Input!$L$3:$L$1000=G$2)*(Input!$O$3:$O$1000=$B22)*(Input!$Y$3:$Y$1000))</f>
        <v>48</v>
      </c>
      <c r="H22" s="14">
        <f ca="1">SUMPRODUCT((Input!$L$3:$L$1000=H$2)*(Input!$O$3:$O$1000=$B22)*(Input!$Y$3:$Y$1000))</f>
        <v>0</v>
      </c>
      <c r="I22" s="14">
        <f ca="1">SUMPRODUCT((Input!$L$3:$L$1000=I$2)*(Input!$O$3:$O$1000=$B22)*(Input!$Y$3:$Y$1000))</f>
        <v>0</v>
      </c>
      <c r="J22" s="14">
        <f ca="1">SUMPRODUCT((Input!$L$3:$L$1000=J$2)*(Input!$O$3:$O$1000=$B22)*(Input!$Y$3:$Y$1000))</f>
        <v>0</v>
      </c>
      <c r="K22" s="14">
        <f ca="1">SUMPRODUCT((Input!$L$3:$L$1000=K$2)*(Input!$O$3:$O$1000=$B22)*(Input!$Y$3:$Y$1000))</f>
        <v>0</v>
      </c>
      <c r="L22" s="14">
        <f ca="1">SUMPRODUCT((Input!$L$3:$L$1000=L$2)*(Input!$O$3:$O$1000=$B22)*(Input!$Y$3:$Y$1000))</f>
        <v>0</v>
      </c>
      <c r="M22" s="14">
        <f ca="1">SUMPRODUCT((Input!$L$3:$L$1000=M$2)*(Input!$O$3:$O$1000=$B22)*(Input!$Y$3:$Y$1000))</f>
        <v>0</v>
      </c>
      <c r="N22" s="14">
        <f ca="1">SUMPRODUCT((Input!$L$3:$L$1000=N$2)*(Input!$O$3:$O$1000=$B22)*(Input!$Y$3:$Y$1000))</f>
        <v>0</v>
      </c>
      <c r="O22" s="14">
        <f ca="1">SUMPRODUCT((Input!$L$3:$L$1000=O$2)*(Input!$O$3:$O$1000=$B22)*(Input!$Y$3:$Y$1000))</f>
        <v>0</v>
      </c>
      <c r="P22" s="14">
        <f ca="1">SUMPRODUCT((Input!$L$3:$L$1000=P$2)*(Input!$O$3:$O$1000=$B22)*(Input!$Y$3:$Y$1000))</f>
        <v>0</v>
      </c>
    </row>
    <row r="23" spans="1:16" x14ac:dyDescent="0.2">
      <c r="A23" s="12">
        <f t="shared" ca="1" si="0"/>
        <v>20</v>
      </c>
      <c r="B23" s="13" t="s">
        <v>29</v>
      </c>
      <c r="C23" s="14">
        <f t="array" aca="1" ref="C23" ca="1">SUM(LARGE(E23:P23,{1,2,3,4,5,6}))</f>
        <v>47</v>
      </c>
      <c r="D23" s="14">
        <f t="shared" ca="1" si="1"/>
        <v>1</v>
      </c>
      <c r="E23" s="14">
        <f ca="1">SUMPRODUCT((Input!$L$3:$L$1000=E$2)*(Input!$O$3:$O$1000=$B23)*(Input!$Y$3:$Y$1000))</f>
        <v>0</v>
      </c>
      <c r="F23" s="14">
        <f ca="1">SUMPRODUCT((Input!$L$3:$L$1000=F$2)*(Input!$O$3:$O$1000=$B23)*(Input!$Y$3:$Y$1000))</f>
        <v>0</v>
      </c>
      <c r="G23" s="14">
        <f ca="1">SUMPRODUCT((Input!$L$3:$L$1000=G$2)*(Input!$O$3:$O$1000=$B23)*(Input!$Y$3:$Y$1000))</f>
        <v>47</v>
      </c>
      <c r="H23" s="14">
        <f ca="1">SUMPRODUCT((Input!$L$3:$L$1000=H$2)*(Input!$O$3:$O$1000=$B23)*(Input!$Y$3:$Y$1000))</f>
        <v>0</v>
      </c>
      <c r="I23" s="14">
        <f ca="1">SUMPRODUCT((Input!$L$3:$L$1000=I$2)*(Input!$O$3:$O$1000=$B23)*(Input!$Y$3:$Y$1000))</f>
        <v>0</v>
      </c>
      <c r="J23" s="14">
        <f ca="1">SUMPRODUCT((Input!$L$3:$L$1000=J$2)*(Input!$O$3:$O$1000=$B23)*(Input!$Y$3:$Y$1000))</f>
        <v>0</v>
      </c>
      <c r="K23" s="14">
        <f ca="1">SUMPRODUCT((Input!$L$3:$L$1000=K$2)*(Input!$O$3:$O$1000=$B23)*(Input!$Y$3:$Y$1000))</f>
        <v>0</v>
      </c>
      <c r="L23" s="14">
        <f ca="1">SUMPRODUCT((Input!$L$3:$L$1000=L$2)*(Input!$O$3:$O$1000=$B23)*(Input!$Y$3:$Y$1000))</f>
        <v>0</v>
      </c>
      <c r="M23" s="14">
        <f ca="1">SUMPRODUCT((Input!$L$3:$L$1000=M$2)*(Input!$O$3:$O$1000=$B23)*(Input!$Y$3:$Y$1000))</f>
        <v>0</v>
      </c>
      <c r="N23" s="14">
        <f ca="1">SUMPRODUCT((Input!$L$3:$L$1000=N$2)*(Input!$O$3:$O$1000=$B23)*(Input!$Y$3:$Y$1000))</f>
        <v>0</v>
      </c>
      <c r="O23" s="14">
        <f ca="1">SUMPRODUCT((Input!$L$3:$L$1000=O$2)*(Input!$O$3:$O$1000=$B23)*(Input!$Y$3:$Y$1000))</f>
        <v>0</v>
      </c>
      <c r="P23" s="14">
        <f ca="1">SUMPRODUCT((Input!$L$3:$L$1000=P$2)*(Input!$O$3:$O$1000=$B23)*(Input!$Y$3:$Y$1000))</f>
        <v>0</v>
      </c>
    </row>
    <row r="24" spans="1:16" x14ac:dyDescent="0.2">
      <c r="A24" s="12">
        <f t="shared" ca="1" si="0"/>
        <v>21</v>
      </c>
      <c r="B24" s="13" t="s">
        <v>31</v>
      </c>
      <c r="C24" s="14">
        <f t="array" aca="1" ref="C24" ca="1">SUM(LARGE(E24:P24,{1,2,3,4,5,6}))</f>
        <v>46</v>
      </c>
      <c r="D24" s="14">
        <f t="shared" ca="1" si="1"/>
        <v>1</v>
      </c>
      <c r="E24" s="14">
        <f ca="1">SUMPRODUCT((Input!$L$3:$L$1000=E$2)*(Input!$O$3:$O$1000=$B24)*(Input!$Y$3:$Y$1000))</f>
        <v>0</v>
      </c>
      <c r="F24" s="14">
        <f ca="1">SUMPRODUCT((Input!$L$3:$L$1000=F$2)*(Input!$O$3:$O$1000=$B24)*(Input!$Y$3:$Y$1000))</f>
        <v>0</v>
      </c>
      <c r="G24" s="14">
        <f ca="1">SUMPRODUCT((Input!$L$3:$L$1000=G$2)*(Input!$O$3:$O$1000=$B24)*(Input!$Y$3:$Y$1000))</f>
        <v>46</v>
      </c>
      <c r="H24" s="14">
        <f ca="1">SUMPRODUCT((Input!$L$3:$L$1000=H$2)*(Input!$O$3:$O$1000=$B24)*(Input!$Y$3:$Y$1000))</f>
        <v>0</v>
      </c>
      <c r="I24" s="14">
        <f ca="1">SUMPRODUCT((Input!$L$3:$L$1000=I$2)*(Input!$O$3:$O$1000=$B24)*(Input!$Y$3:$Y$1000))</f>
        <v>0</v>
      </c>
      <c r="J24" s="14">
        <f ca="1">SUMPRODUCT((Input!$L$3:$L$1000=J$2)*(Input!$O$3:$O$1000=$B24)*(Input!$Y$3:$Y$1000))</f>
        <v>0</v>
      </c>
      <c r="K24" s="14">
        <f ca="1">SUMPRODUCT((Input!$L$3:$L$1000=K$2)*(Input!$O$3:$O$1000=$B24)*(Input!$Y$3:$Y$1000))</f>
        <v>0</v>
      </c>
      <c r="L24" s="14">
        <f ca="1">SUMPRODUCT((Input!$L$3:$L$1000=L$2)*(Input!$O$3:$O$1000=$B24)*(Input!$Y$3:$Y$1000))</f>
        <v>0</v>
      </c>
      <c r="M24" s="14">
        <f ca="1">SUMPRODUCT((Input!$L$3:$L$1000=M$2)*(Input!$O$3:$O$1000=$B24)*(Input!$Y$3:$Y$1000))</f>
        <v>0</v>
      </c>
      <c r="N24" s="14">
        <f ca="1">SUMPRODUCT((Input!$L$3:$L$1000=N$2)*(Input!$O$3:$O$1000=$B24)*(Input!$Y$3:$Y$1000))</f>
        <v>0</v>
      </c>
      <c r="O24" s="14">
        <f ca="1">SUMPRODUCT((Input!$L$3:$L$1000=O$2)*(Input!$O$3:$O$1000=$B24)*(Input!$Y$3:$Y$1000))</f>
        <v>0</v>
      </c>
      <c r="P24" s="14">
        <f ca="1">SUMPRODUCT((Input!$L$3:$L$1000=P$2)*(Input!$O$3:$O$1000=$B24)*(Input!$Y$3:$Y$1000))</f>
        <v>0</v>
      </c>
    </row>
    <row r="25" spans="1:16" x14ac:dyDescent="0.2">
      <c r="A25" s="12">
        <f t="shared" ca="1" si="0"/>
        <v>22</v>
      </c>
      <c r="B25" s="13" t="s">
        <v>32</v>
      </c>
      <c r="C25" s="14">
        <f t="array" aca="1" ref="C25" ca="1">SUM(LARGE(E25:P25,{1,2,3,4,5,6}))</f>
        <v>45</v>
      </c>
      <c r="D25" s="14">
        <f t="shared" ca="1" si="1"/>
        <v>1</v>
      </c>
      <c r="E25" s="14">
        <f ca="1">SUMPRODUCT((Input!$L$3:$L$1000=E$2)*(Input!$O$3:$O$1000=$B25)*(Input!$Y$3:$Y$1000))</f>
        <v>0</v>
      </c>
      <c r="F25" s="14">
        <f ca="1">SUMPRODUCT((Input!$L$3:$L$1000=F$2)*(Input!$O$3:$O$1000=$B25)*(Input!$Y$3:$Y$1000))</f>
        <v>0</v>
      </c>
      <c r="G25" s="14">
        <f ca="1">SUMPRODUCT((Input!$L$3:$L$1000=G$2)*(Input!$O$3:$O$1000=$B25)*(Input!$Y$3:$Y$1000))</f>
        <v>45</v>
      </c>
      <c r="H25" s="14">
        <f ca="1">SUMPRODUCT((Input!$L$3:$L$1000=H$2)*(Input!$O$3:$O$1000=$B25)*(Input!$Y$3:$Y$1000))</f>
        <v>0</v>
      </c>
      <c r="I25" s="14">
        <f ca="1">SUMPRODUCT((Input!$L$3:$L$1000=I$2)*(Input!$O$3:$O$1000=$B25)*(Input!$Y$3:$Y$1000))</f>
        <v>0</v>
      </c>
      <c r="J25" s="14">
        <f ca="1">SUMPRODUCT((Input!$L$3:$L$1000=J$2)*(Input!$O$3:$O$1000=$B25)*(Input!$Y$3:$Y$1000))</f>
        <v>0</v>
      </c>
      <c r="K25" s="14">
        <f ca="1">SUMPRODUCT((Input!$L$3:$L$1000=K$2)*(Input!$O$3:$O$1000=$B25)*(Input!$Y$3:$Y$1000))</f>
        <v>0</v>
      </c>
      <c r="L25" s="14">
        <f ca="1">SUMPRODUCT((Input!$L$3:$L$1000=L$2)*(Input!$O$3:$O$1000=$B25)*(Input!$Y$3:$Y$1000))</f>
        <v>0</v>
      </c>
      <c r="M25" s="14">
        <f ca="1">SUMPRODUCT((Input!$L$3:$L$1000=M$2)*(Input!$O$3:$O$1000=$B25)*(Input!$Y$3:$Y$1000))</f>
        <v>0</v>
      </c>
      <c r="N25" s="14">
        <f ca="1">SUMPRODUCT((Input!$L$3:$L$1000=N$2)*(Input!$O$3:$O$1000=$B25)*(Input!$Y$3:$Y$1000))</f>
        <v>0</v>
      </c>
      <c r="O25" s="14">
        <f ca="1">SUMPRODUCT((Input!$L$3:$L$1000=O$2)*(Input!$O$3:$O$1000=$B25)*(Input!$Y$3:$Y$1000))</f>
        <v>0</v>
      </c>
      <c r="P25" s="14">
        <f ca="1">SUMPRODUCT((Input!$L$3:$L$1000=P$2)*(Input!$O$3:$O$1000=$B25)*(Input!$Y$3:$Y$1000))</f>
        <v>0</v>
      </c>
    </row>
  </sheetData>
  <conditionalFormatting sqref="C4:P25">
    <cfRule type="cellIs" dxfId="10" priority="3" operator="equal">
      <formula>0</formula>
    </cfRule>
  </conditionalFormatting>
  <conditionalFormatting sqref="E4:P25">
    <cfRule type="cellIs" dxfId="9" priority="1" operator="equal">
      <formula>0</formula>
    </cfRule>
    <cfRule type="expression" dxfId="8" priority="2">
      <formula>AND($D4&gt;$C$1,RANK(VALUE(E4),$E4:$P4)+COUNTIF($E4:E4,E4)-1&lt;=$C$1)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2.5703125" defaultRowHeight="15.75" customHeight="1" x14ac:dyDescent="0.2"/>
  <cols>
    <col min="1" max="1" width="10.85546875" customWidth="1"/>
    <col min="2" max="2" width="17.28515625" customWidth="1"/>
    <col min="3" max="3" width="9.5703125" customWidth="1"/>
    <col min="4" max="4" width="8.5703125" customWidth="1"/>
    <col min="5" max="6" width="10.42578125" customWidth="1"/>
    <col min="7" max="7" width="11" customWidth="1"/>
    <col min="8" max="14" width="9.85546875" customWidth="1"/>
  </cols>
  <sheetData>
    <row r="1" spans="1:14" ht="15.75" customHeight="1" x14ac:dyDescent="0.4">
      <c r="A1" s="1" t="s">
        <v>37</v>
      </c>
      <c r="B1" s="1"/>
      <c r="C1" s="1">
        <v>5</v>
      </c>
      <c r="D1" s="1" t="s">
        <v>1</v>
      </c>
      <c r="E1" s="2"/>
      <c r="F1" s="3">
        <f ca="1">COUNTIF(C4:C111,"&gt;"&amp;0)+3</f>
        <v>5</v>
      </c>
      <c r="G1" s="4"/>
      <c r="H1" s="4"/>
      <c r="I1" s="4"/>
      <c r="J1" s="4"/>
      <c r="K1" s="4"/>
      <c r="L1" s="4"/>
      <c r="M1" s="4"/>
      <c r="N1" s="4"/>
    </row>
    <row r="2" spans="1:14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45765</v>
      </c>
      <c r="G2" s="6">
        <v>45768</v>
      </c>
      <c r="H2" s="6">
        <v>45802</v>
      </c>
      <c r="I2" s="6">
        <v>45809</v>
      </c>
      <c r="J2" s="6">
        <v>45816</v>
      </c>
      <c r="K2" s="6">
        <v>45865</v>
      </c>
      <c r="L2" s="7">
        <v>45885</v>
      </c>
      <c r="M2" s="8">
        <v>45928</v>
      </c>
      <c r="N2" s="6"/>
    </row>
    <row r="3" spans="1:14" x14ac:dyDescent="0.2">
      <c r="A3" s="9"/>
      <c r="B3" s="9"/>
      <c r="C3" s="9"/>
      <c r="D3" s="9"/>
      <c r="E3" s="9">
        <v>10</v>
      </c>
      <c r="F3" s="9">
        <v>25</v>
      </c>
      <c r="G3" s="9">
        <v>10</v>
      </c>
      <c r="H3" s="9">
        <v>25</v>
      </c>
      <c r="I3" s="9">
        <v>10</v>
      </c>
      <c r="J3" s="9">
        <v>10</v>
      </c>
      <c r="K3" s="9">
        <v>25</v>
      </c>
      <c r="L3" s="10">
        <v>10</v>
      </c>
      <c r="M3" s="11">
        <v>25</v>
      </c>
      <c r="N3" s="9"/>
    </row>
    <row r="4" spans="1:14" x14ac:dyDescent="0.2">
      <c r="A4" s="12">
        <f ca="1">RANK(C4,$C$4:$C$41)</f>
        <v>1</v>
      </c>
      <c r="B4" s="13" t="s">
        <v>23</v>
      </c>
      <c r="C4" s="14">
        <f t="array" aca="1" ref="C4" ca="1">SUM(LARGE(E4:N4,{1,2,3,4,5}))</f>
        <v>60</v>
      </c>
      <c r="D4" s="14">
        <f t="shared" ref="D4:D5" ca="1" si="0">COUNTIF(E4:N4,"&gt;"&amp;0)</f>
        <v>1</v>
      </c>
      <c r="E4" s="14">
        <f ca="1">SUMPRODUCT((Input!$L$3:$L$1000=E$2)*(Input!$O$3:$O$1000=$B4)*(Input!$AC$3:$AC$1000))</f>
        <v>0</v>
      </c>
      <c r="F4" s="14">
        <f ca="1">SUMPRODUCT((Input!$L$3:$L$1000=F$2)*(Input!$O$3:$O$1000=$B4)*(Input!$AC$3:$AC$1000))</f>
        <v>0</v>
      </c>
      <c r="G4" s="14">
        <f ca="1">SUMPRODUCT((Input!$L$3:$L$1000=G$2)*(Input!$O$3:$O$1000=$B4)*(Input!$AC$3:$AC$1000))</f>
        <v>60</v>
      </c>
      <c r="H4" s="14">
        <f ca="1">SUMPRODUCT((Input!$L$3:$L$1000=H$2)*(Input!$O$3:$O$1000=$B4)*(Input!$AC$3:$AC$1000))</f>
        <v>0</v>
      </c>
      <c r="I4" s="14">
        <f ca="1">SUMPRODUCT((Input!$L$3:$L$1000=I$2)*(Input!$O$3:$O$1000=$B4)*(Input!$AC$3:$AC$1000))</f>
        <v>0</v>
      </c>
      <c r="J4" s="14">
        <f ca="1">SUMPRODUCT((Input!$L$3:$L$1000=J$2)*(Input!$O$3:$O$1000=$B4)*(Input!$AC$3:$AC$1000))</f>
        <v>0</v>
      </c>
      <c r="K4" s="14">
        <f ca="1">SUMPRODUCT((Input!$L$3:$L$1000=K$2)*(Input!$O$3:$O$1000=$B4)*(Input!$AC$3:$AC$1000))</f>
        <v>0</v>
      </c>
      <c r="L4" s="17">
        <f ca="1">SUMPRODUCT((Input!$L$3:$L$1000=L$2)*(Input!$O$3:$O$1000=$B4)*(Input!$AC$3:$AC$1000))</f>
        <v>0</v>
      </c>
      <c r="M4" s="14"/>
      <c r="N4" s="14"/>
    </row>
    <row r="5" spans="1:14" x14ac:dyDescent="0.2">
      <c r="A5" s="12">
        <v>2</v>
      </c>
      <c r="B5" s="13" t="s">
        <v>25</v>
      </c>
      <c r="C5" s="14">
        <f t="array" aca="1" ref="C5" ca="1">SUM(LARGE(E5:N5,{1,2,3,4,5}))</f>
        <v>59</v>
      </c>
      <c r="D5" s="14">
        <f t="shared" ca="1" si="0"/>
        <v>1</v>
      </c>
      <c r="E5" s="14">
        <f ca="1">SUMPRODUCT((Input!$L$3:$L$1000=E$2)*(Input!$O$3:$O$1000=$B5)*(Input!$AC$3:$AC$1000))</f>
        <v>0</v>
      </c>
      <c r="F5" s="14">
        <f ca="1">SUMPRODUCT((Input!$L$3:$L$1000=F$2)*(Input!$O$3:$O$1000=$B5)*(Input!$AC$3:$AC$1000))</f>
        <v>0</v>
      </c>
      <c r="G5" s="14">
        <f ca="1">SUMPRODUCT((Input!$L$3:$L$1000=G$2)*(Input!$O$3:$O$1000=$B5)*(Input!$AC$3:$AC$1000))</f>
        <v>59</v>
      </c>
      <c r="H5" s="14">
        <f ca="1">SUMPRODUCT((Input!$L$3:$L$1000=H$2)*(Input!$O$3:$O$1000=$B5)*(Input!$AC$3:$AC$1000))</f>
        <v>0</v>
      </c>
      <c r="I5" s="14">
        <f ca="1">SUMPRODUCT((Input!$L$3:$L$1000=I$2)*(Input!$O$3:$O$1000=$B5)*(Input!$AC$3:$AC$1000))</f>
        <v>0</v>
      </c>
      <c r="J5" s="14">
        <f ca="1">SUMPRODUCT((Input!$L$3:$L$1000=J$2)*(Input!$O$3:$O$1000=$B5)*(Input!$AC$3:$AC$1000))</f>
        <v>0</v>
      </c>
      <c r="K5" s="14">
        <f ca="1">SUMPRODUCT((Input!$L$3:$L$1000=K$2)*(Input!$O$3:$O$1000=$B5)*(Input!$AC$3:$AC$1000))</f>
        <v>0</v>
      </c>
      <c r="L5" s="18">
        <f ca="1">SUMPRODUCT((Input!$L$3:$L$1000=L$2)*(Input!$O$3:$O$1000=$B5)*(Input!$AC$3:$AC$1000))</f>
        <v>0</v>
      </c>
      <c r="M5" s="14"/>
      <c r="N5" s="14"/>
    </row>
    <row r="6" spans="1:14" x14ac:dyDescent="0.2">
      <c r="A6" s="12"/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</sheetData>
  <conditionalFormatting sqref="C4:N6">
    <cfRule type="cellIs" dxfId="7" priority="3" operator="equal">
      <formula>0</formula>
    </cfRule>
  </conditionalFormatting>
  <conditionalFormatting sqref="D4:N21">
    <cfRule type="cellIs" dxfId="6" priority="1" operator="equal">
      <formula>0</formula>
    </cfRule>
    <cfRule type="expression" dxfId="5" priority="2">
      <formula>AND($D4&gt;$C$1,RANK(VALUE(E4),$E4:$N4)+COUNTIF(E4:$E4,E4)-1&lt;=$C$1)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I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2.5703125" defaultRowHeight="15.75" customHeight="1" x14ac:dyDescent="0.2"/>
  <cols>
    <col min="1" max="1" width="10.85546875" customWidth="1"/>
    <col min="2" max="2" width="17.28515625" customWidth="1"/>
    <col min="3" max="3" width="9.5703125" customWidth="1"/>
    <col min="4" max="4" width="8.5703125" customWidth="1"/>
    <col min="5" max="6" width="10.42578125" customWidth="1"/>
    <col min="7" max="7" width="11" customWidth="1"/>
    <col min="8" max="9" width="9.85546875" customWidth="1"/>
  </cols>
  <sheetData>
    <row r="1" spans="1:9" ht="15.75" customHeight="1" x14ac:dyDescent="0.4">
      <c r="A1" s="1" t="s">
        <v>38</v>
      </c>
      <c r="B1" s="1"/>
      <c r="C1" s="1">
        <v>3</v>
      </c>
      <c r="D1" s="1" t="s">
        <v>1</v>
      </c>
      <c r="E1" s="2"/>
      <c r="F1" s="3">
        <f ca="1">COUNTIF(C4:C100,"&gt;"&amp;0)+3</f>
        <v>5</v>
      </c>
      <c r="G1" s="4"/>
      <c r="H1" s="4"/>
      <c r="I1" s="4"/>
    </row>
    <row r="2" spans="1:9" x14ac:dyDescent="0.2">
      <c r="A2" s="5" t="s">
        <v>2</v>
      </c>
      <c r="B2" s="5" t="s">
        <v>3</v>
      </c>
      <c r="C2" s="5" t="s">
        <v>4</v>
      </c>
      <c r="D2" s="5" t="s">
        <v>5</v>
      </c>
      <c r="E2" s="6">
        <v>45753</v>
      </c>
      <c r="F2" s="6">
        <v>45768</v>
      </c>
      <c r="G2" s="6">
        <v>45809</v>
      </c>
      <c r="H2" s="6">
        <v>45816</v>
      </c>
      <c r="I2" s="6">
        <v>45885</v>
      </c>
    </row>
    <row r="3" spans="1:9" x14ac:dyDescent="0.2">
      <c r="A3" s="9"/>
      <c r="B3" s="9"/>
      <c r="C3" s="9"/>
      <c r="D3" s="9"/>
      <c r="E3" s="9">
        <v>10</v>
      </c>
      <c r="F3" s="9">
        <v>10</v>
      </c>
      <c r="G3" s="9">
        <v>10</v>
      </c>
      <c r="H3" s="9">
        <v>10</v>
      </c>
      <c r="I3" s="9">
        <v>10</v>
      </c>
    </row>
    <row r="4" spans="1:9" x14ac:dyDescent="0.2">
      <c r="A4" s="12">
        <f ca="1">RANK(C4,$C$4:$C$30)</f>
        <v>1</v>
      </c>
      <c r="B4" s="13" t="s">
        <v>23</v>
      </c>
      <c r="C4" s="14">
        <f t="array" aca="1" ref="C4" ca="1">SUM(LARGE(E4:H4,{1,2,3}))</f>
        <v>60</v>
      </c>
      <c r="D4" s="14">
        <f t="shared" ref="D4:D5" ca="1" si="0">COUNTIF(E4:H4,"&gt;"&amp;0)</f>
        <v>1</v>
      </c>
      <c r="E4" s="14">
        <f ca="1">SUMPRODUCT((Input!$L$3:$L$1000=E$2)*(Input!$O$3:$O$1000=$B4)*(Input!$AE$3:$AE$1000))</f>
        <v>0</v>
      </c>
      <c r="F4" s="14">
        <f ca="1">SUMPRODUCT((Input!$L$3:$L$1000=F$2)*(Input!$O$3:$O$1000=$B4)*(Input!$AE$3:$AE$1000))</f>
        <v>60</v>
      </c>
      <c r="G4" s="14">
        <f ca="1">SUMPRODUCT((Input!$L$3:$L$1000=G$2)*(Input!$O$3:$O$1000=$B4)*(Input!$AE$3:$AE$1000))</f>
        <v>0</v>
      </c>
      <c r="H4" s="14">
        <f ca="1">SUMPRODUCT((Input!$L$3:$L$1000=H$2)*(Input!$O$3:$O$1000=$B4)*(Input!$AE$3:$AE$1000))</f>
        <v>0</v>
      </c>
      <c r="I4" s="14">
        <f ca="1">SUMPRODUCT((Input!$L$3:$L$1000=I$2)*(Input!$O$3:$O$1000=$B4)*(Input!$AE$3:$AE$1000))</f>
        <v>0</v>
      </c>
    </row>
    <row r="5" spans="1:9" x14ac:dyDescent="0.2">
      <c r="A5" s="12">
        <v>2</v>
      </c>
      <c r="B5" s="13" t="s">
        <v>25</v>
      </c>
      <c r="C5" s="14">
        <f t="array" aca="1" ref="C5" ca="1">SUM(LARGE(E5:H5,{1,2,3}))</f>
        <v>59</v>
      </c>
      <c r="D5" s="14">
        <f t="shared" ca="1" si="0"/>
        <v>1</v>
      </c>
      <c r="E5" s="14">
        <f ca="1">SUMPRODUCT((Input!$L$3:$L$1000=E$2)*(Input!$O$3:$O$1000=$B5)*(Input!$AE$3:$AE$1000))</f>
        <v>0</v>
      </c>
      <c r="F5" s="14">
        <f ca="1">SUMPRODUCT((Input!$L$3:$L$1000=F$2)*(Input!$O$3:$O$1000=$B5)*(Input!$AE$3:$AE$1000))</f>
        <v>59</v>
      </c>
      <c r="G5" s="14">
        <f ca="1">SUMPRODUCT((Input!$L$3:$L$1000=G$2)*(Input!$O$3:$O$1000=$B5)*(Input!$AE$3:$AE$1000))</f>
        <v>0</v>
      </c>
      <c r="H5" s="14">
        <f ca="1">SUMPRODUCT((Input!$L$3:$L$1000=H$2)*(Input!$O$3:$O$1000=$B5)*(Input!$AE$3:$AE$1000))</f>
        <v>0</v>
      </c>
      <c r="I5" s="14">
        <f ca="1">SUMPRODUCT((Input!$L$3:$L$1000=I$2)*(Input!$O$3:$O$1000=$B5)*(Input!$AE$3:$AE$1000))</f>
        <v>0</v>
      </c>
    </row>
    <row r="6" spans="1:9" x14ac:dyDescent="0.2">
      <c r="A6" s="12"/>
      <c r="B6" s="13"/>
      <c r="C6" s="14"/>
      <c r="D6" s="14"/>
      <c r="E6" s="14"/>
      <c r="F6" s="14"/>
      <c r="G6" s="14"/>
      <c r="H6" s="14"/>
      <c r="I6" s="14"/>
    </row>
  </sheetData>
  <conditionalFormatting sqref="C4:I6">
    <cfRule type="cellIs" dxfId="4" priority="3" operator="equal">
      <formula>0</formula>
    </cfRule>
  </conditionalFormatting>
  <conditionalFormatting sqref="E4:I6">
    <cfRule type="cellIs" dxfId="3" priority="1" operator="equal">
      <formula>0</formula>
    </cfRule>
    <cfRule type="expression" dxfId="2" priority="2">
      <formula>AND($D4&gt;$C$1,RANK(VALUE(E4),$E4:$H4)+COUNTIF($E4:E4,E4)-1&lt;=$C$1)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N1000"/>
  <sheetViews>
    <sheetView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H3" sqref="H3"/>
    </sheetView>
  </sheetViews>
  <sheetFormatPr defaultColWidth="12.5703125" defaultRowHeight="15.75" customHeight="1" x14ac:dyDescent="0.2"/>
  <cols>
    <col min="1" max="1" width="4.42578125" customWidth="1"/>
    <col min="2" max="3" width="4.140625" customWidth="1"/>
    <col min="4" max="4" width="3.28515625" customWidth="1"/>
    <col min="5" max="5" width="3.7109375" customWidth="1"/>
    <col min="6" max="6" width="3" customWidth="1"/>
    <col min="7" max="7" width="4.140625" customWidth="1"/>
    <col min="9" max="9" width="7.42578125" customWidth="1"/>
    <col min="10" max="10" width="7" customWidth="1"/>
    <col min="12" max="12" width="9.42578125" customWidth="1"/>
    <col min="13" max="13" width="7.7109375" customWidth="1"/>
    <col min="14" max="14" width="5.5703125" customWidth="1"/>
    <col min="16" max="16" width="9.42578125" customWidth="1"/>
    <col min="17" max="17" width="9.85546875" customWidth="1"/>
    <col min="18" max="18" width="13.7109375" customWidth="1"/>
  </cols>
  <sheetData>
    <row r="1" spans="1:40" x14ac:dyDescent="0.2">
      <c r="A1" s="19" t="s">
        <v>39</v>
      </c>
      <c r="B1" s="20"/>
      <c r="C1" s="20"/>
      <c r="D1" s="20"/>
      <c r="E1" s="20"/>
      <c r="F1" s="20"/>
      <c r="G1" s="20"/>
      <c r="H1" s="21" t="str">
        <f ca="1">IFERROR(__xludf.DUMMYFUNCTION("importrange(""https://docs.google.com/spreadsheets/d/1QRbayNqWE2_zrRoG-1XpxIbt-qnfZQ-bzbvd9dyeWyk/edit#gid=573164378"",""Sun_League!A:AG"")"),"")</f>
        <v/>
      </c>
      <c r="I1" s="16" t="str">
        <f ca="1">IFERROR(__xludf.DUMMYFUNCTION("""COMPUTED_VALUE"""),"Ref")</f>
        <v>Ref</v>
      </c>
      <c r="J1" s="16"/>
      <c r="K1" s="16"/>
      <c r="L1" s="16"/>
      <c r="M1" s="16"/>
      <c r="N1" s="16"/>
      <c r="O1" s="16">
        <f ca="1">IFERROR(__xludf.DUMMYFUNCTION("""COMPUTED_VALUE"""),0)</f>
        <v>0</v>
      </c>
      <c r="P1" s="16">
        <f ca="1">IFERROR(__xludf.DUMMYFUNCTION("""COMPUTED_VALUE"""),21)</f>
        <v>21</v>
      </c>
      <c r="Q1" s="16">
        <f ca="1">IFERROR(__xludf.DUMMYFUNCTION("""COMPUTED_VALUE"""),1)</f>
        <v>1</v>
      </c>
      <c r="R1" s="16">
        <f ca="1">IFERROR(__xludf.DUMMYFUNCTION("""COMPUTED_VALUE"""),2)</f>
        <v>2</v>
      </c>
      <c r="S1" s="16">
        <f ca="1">IFERROR(__xludf.DUMMYFUNCTION("""COMPUTED_VALUE"""),26)</f>
        <v>26</v>
      </c>
      <c r="T1" s="16">
        <f ca="1">IFERROR(__xludf.DUMMYFUNCTION("""COMPUTED_VALUE"""),22)</f>
        <v>22</v>
      </c>
      <c r="U1" s="16">
        <f ca="1">IFERROR(__xludf.DUMMYFUNCTION("""COMPUTED_VALUE"""),37)</f>
        <v>37</v>
      </c>
      <c r="V1" s="16">
        <f ca="1">IFERROR(__xludf.DUMMYFUNCTION("""COMPUTED_VALUE"""),38)</f>
        <v>38</v>
      </c>
      <c r="W1" s="16">
        <f ca="1">IFERROR(__xludf.DUMMYFUNCTION("""COMPUTED_VALUE"""),28)</f>
        <v>28</v>
      </c>
      <c r="X1" s="16">
        <f ca="1">IFERROR(__xludf.DUMMYFUNCTION("""COMPUTED_VALUE"""),29)</f>
        <v>29</v>
      </c>
      <c r="Y1" s="16">
        <f ca="1">IFERROR(__xludf.DUMMYFUNCTION("""COMPUTED_VALUE"""),30)</f>
        <v>30</v>
      </c>
      <c r="Z1" s="16">
        <f ca="1">IFERROR(__xludf.DUMMYFUNCTION("""COMPUTED_VALUE"""),31)</f>
        <v>31</v>
      </c>
      <c r="AA1" s="16">
        <f ca="1">IFERROR(__xludf.DUMMYFUNCTION("""COMPUTED_VALUE"""),32)</f>
        <v>32</v>
      </c>
      <c r="AB1" s="16">
        <f ca="1">IFERROR(__xludf.DUMMYFUNCTION("""COMPUTED_VALUE"""),33)</f>
        <v>33</v>
      </c>
      <c r="AC1" s="16">
        <f ca="1">IFERROR(__xludf.DUMMYFUNCTION("""COMPUTED_VALUE"""),34)</f>
        <v>34</v>
      </c>
      <c r="AD1" s="16">
        <f ca="1">IFERROR(__xludf.DUMMYFUNCTION("""COMPUTED_VALUE"""),35)</f>
        <v>35</v>
      </c>
      <c r="AE1" s="16">
        <f ca="1">IFERROR(__xludf.DUMMYFUNCTION("""COMPUTED_VALUE"""),36)</f>
        <v>36</v>
      </c>
      <c r="AF1" s="16">
        <f ca="1">IFERROR(__xludf.DUMMYFUNCTION("""COMPUTED_VALUE"""),41)</f>
        <v>41</v>
      </c>
      <c r="AG1" s="16">
        <f ca="1">IFERROR(__xludf.DUMMYFUNCTION("""COMPUTED_VALUE"""),42)</f>
        <v>42</v>
      </c>
      <c r="AH1" s="16">
        <f ca="1">IFERROR(__xludf.DUMMYFUNCTION("""COMPUTED_VALUE"""),40)</f>
        <v>40</v>
      </c>
      <c r="AI1" s="16">
        <f ca="1">IFERROR(__xludf.DUMMYFUNCTION("""COMPUTED_VALUE"""),41)</f>
        <v>41</v>
      </c>
      <c r="AJ1" s="16">
        <f ca="1">IFERROR(__xludf.DUMMYFUNCTION("""COMPUTED_VALUE"""),5)</f>
        <v>5</v>
      </c>
      <c r="AK1" s="16">
        <f ca="1">IFERROR(__xludf.DUMMYFUNCTION("""COMPUTED_VALUE"""),9)</f>
        <v>9</v>
      </c>
      <c r="AL1" s="16">
        <f ca="1">IFERROR(__xludf.DUMMYFUNCTION("""COMPUTED_VALUE"""),10)</f>
        <v>10</v>
      </c>
      <c r="AM1" s="16">
        <f ca="1">IFERROR(__xludf.DUMMYFUNCTION("""COMPUTED_VALUE"""),11)</f>
        <v>11</v>
      </c>
      <c r="AN1" s="16">
        <f ca="1">IFERROR(__xludf.DUMMYFUNCTION("""COMPUTED_VALUE"""),12)</f>
        <v>12</v>
      </c>
    </row>
    <row r="2" spans="1:40" x14ac:dyDescent="0.2">
      <c r="A2" s="19" t="s">
        <v>40</v>
      </c>
      <c r="B2" s="19" t="s">
        <v>41</v>
      </c>
      <c r="C2" s="20" t="s">
        <v>42</v>
      </c>
      <c r="D2" s="20" t="s">
        <v>43</v>
      </c>
      <c r="E2" s="20" t="s">
        <v>44</v>
      </c>
      <c r="F2" s="20" t="s">
        <v>45</v>
      </c>
      <c r="G2" s="20" t="s">
        <v>46</v>
      </c>
      <c r="H2" s="16" t="str">
        <f ca="1">IFERROR(__xludf.DUMMYFUNCTION("""COMPUTED_VALUE"""),"Race Ref")</f>
        <v>Race Ref</v>
      </c>
      <c r="I2" s="16"/>
      <c r="J2" s="16" t="str">
        <f ca="1">IFERROR(__xludf.DUMMYFUNCTION("""COMPUTED_VALUE"""),"Riders")</f>
        <v>Riders</v>
      </c>
      <c r="K2" s="16" t="str">
        <f ca="1">IFERROR(__xludf.DUMMYFUNCTION("""COMPUTED_VALUE"""),"League")</f>
        <v>League</v>
      </c>
      <c r="L2" s="22" t="str">
        <f ca="1">IFERROR(__xludf.DUMMYFUNCTION("""COMPUTED_VALUE"""),"Date")</f>
        <v>Date</v>
      </c>
      <c r="M2" s="16" t="str">
        <f ca="1">IFERROR(__xludf.DUMMYFUNCTION("""COMPUTED_VALUE"""),"Distance")</f>
        <v>Distance</v>
      </c>
      <c r="N2" s="16" t="str">
        <f ca="1">IFERROR(__xludf.DUMMYFUNCTION("""COMPUTED_VALUE"""),"Rank")</f>
        <v>Rank</v>
      </c>
      <c r="O2" s="16" t="str">
        <f ca="1">IFERROR(__xludf.DUMMYFUNCTION("""COMPUTED_VALUE"""),"Name")</f>
        <v>Name</v>
      </c>
      <c r="P2" s="16" t="str">
        <f ca="1">IFERROR(__xludf.DUMMYFUNCTION("""COMPUTED_VALUE"""),"Cat")</f>
        <v>Cat</v>
      </c>
      <c r="Q2" s="16" t="str">
        <f ca="1">IFERROR(__xludf.DUMMYFUNCTION("""COMPUTED_VALUE"""),"Time")</f>
        <v>Time</v>
      </c>
      <c r="R2" s="16" t="str">
        <f ca="1">IFERROR(__xludf.DUMMYFUNCTION("""COMPUTED_VALUE"""),"Notes")</f>
        <v>Notes</v>
      </c>
      <c r="S2" s="16" t="str">
        <f ca="1">IFERROR(__xludf.DUMMYFUNCTION("""COMPUTED_VALUE"""),"Scratch Points")</f>
        <v>Scratch Points</v>
      </c>
      <c r="T2" s="23" t="str">
        <f ca="1">IFERROR(__xludf.DUMMYFUNCTION("""COMPUTED_VALUE"""),"H'Cap Time")</f>
        <v>H'Cap Time</v>
      </c>
      <c r="U2" s="16" t="str">
        <f ca="1">IFERROR(__xludf.DUMMYFUNCTION("""COMPUTED_VALUE"""),"H-Cap Rank")</f>
        <v>H-Cap Rank</v>
      </c>
      <c r="V2" s="16" t="str">
        <f ca="1">IFERROR(__xludf.DUMMYFUNCTION("""COMPUTED_VALUE"""),"H'Cap Points")</f>
        <v>H'Cap Points</v>
      </c>
      <c r="W2" s="16" t="str">
        <f ca="1">IFERROR(__xludf.DUMMYFUNCTION("""COMPUTED_VALUE"""),"Vet Time")</f>
        <v>Vet Time</v>
      </c>
      <c r="X2" s="16" t="str">
        <f ca="1">IFERROR(__xludf.DUMMYFUNCTION("""COMPUTED_VALUE"""),"Vet Rank")</f>
        <v>Vet Rank</v>
      </c>
      <c r="Y2" s="16" t="str">
        <f ca="1">IFERROR(__xludf.DUMMYFUNCTION("""COMPUTED_VALUE"""),"Vet Points")</f>
        <v>Vet Points</v>
      </c>
      <c r="Z2" s="16" t="str">
        <f ca="1">IFERROR(__xludf.DUMMYFUNCTION("""COMPUTED_VALUE"""),"Women Rank")</f>
        <v>Women Rank</v>
      </c>
      <c r="AA2" s="16" t="str">
        <f ca="1">IFERROR(__xludf.DUMMYFUNCTION("""COMPUTED_VALUE"""),"Women Points")</f>
        <v>Women Points</v>
      </c>
      <c r="AB2" s="16" t="str">
        <f ca="1">IFERROR(__xludf.DUMMYFUNCTION("""COMPUTED_VALUE"""),"Junior Rank")</f>
        <v>Junior Rank</v>
      </c>
      <c r="AC2" s="16" t="str">
        <f ca="1">IFERROR(__xludf.DUMMYFUNCTION("""COMPUTED_VALUE"""),"Junior Points")</f>
        <v>Junior Points</v>
      </c>
      <c r="AD2" s="16" t="str">
        <f ca="1">IFERROR(__xludf.DUMMYFUNCTION("""COMPUTED_VALUE"""),"Youth Rank")</f>
        <v>Youth Rank</v>
      </c>
      <c r="AE2" s="16" t="str">
        <f ca="1">IFERROR(__xludf.DUMMYFUNCTION("""COMPUTED_VALUE"""),"Youth Points")</f>
        <v>Youth Points</v>
      </c>
      <c r="AF2" s="16" t="str">
        <f ca="1">IFERROR(__xludf.DUMMYFUNCTION("""COMPUTED_VALUE"""),"Non-aero Rank")</f>
        <v>Non-aero Rank</v>
      </c>
      <c r="AG2" s="16" t="str">
        <f ca="1">IFERROR(__xludf.DUMMYFUNCTION("""COMPUTED_VALUE"""),"Non-aero Points")</f>
        <v>Non-aero Points</v>
      </c>
      <c r="AH2" s="16" t="str">
        <f ca="1">IFERROR(__xludf.DUMMYFUNCTION("""COMPUTED_VALUE"""),"HC Rank")</f>
        <v>HC Rank</v>
      </c>
      <c r="AI2" s="16" t="str">
        <f ca="1">IFERROR(__xludf.DUMMYFUNCTION("""COMPUTED_VALUE"""),"HC Points")</f>
        <v>HC Points</v>
      </c>
      <c r="AJ2" s="16" t="str">
        <f ca="1">IFERROR(__xludf.DUMMYFUNCTION("""COMPUTED_VALUE"""),"Novice")</f>
        <v>Novice</v>
      </c>
      <c r="AK2" s="16" t="str">
        <f ca="1">IFERROR(__xludf.DUMMYFUNCTION("""COMPUTED_VALUE"""),"Record")</f>
        <v>Record</v>
      </c>
      <c r="AL2" s="16" t="str">
        <f ca="1">IFERROR(__xludf.DUMMYFUNCTION("""COMPUTED_VALUE"""),"Club Record")</f>
        <v>Club Record</v>
      </c>
      <c r="AM2" s="16" t="str">
        <f ca="1">IFERROR(__xludf.DUMMYFUNCTION("""COMPUTED_VALUE"""),"Age Record")</f>
        <v>Age Record</v>
      </c>
      <c r="AN2" s="16" t="str">
        <f ca="1">IFERROR(__xludf.DUMMYFUNCTION("""COMPUTED_VALUE"""),"Team Record")</f>
        <v>Team Record</v>
      </c>
    </row>
    <row r="3" spans="1:40" x14ac:dyDescent="0.2">
      <c r="A3" s="20">
        <f ca="1">IF($H3="","",IF(ISERROR(MATCH($O3,Lge_Scratch!$B:$B,0)),1,0))</f>
        <v>0</v>
      </c>
      <c r="B3" s="20">
        <f ca="1">IF($H3="","",IF(AND($AG3&gt;0,ISERROR(MATCH($O3,Lge_NonAero!$B:$B,0))),1,0))</f>
        <v>0</v>
      </c>
      <c r="C3" s="20">
        <f ca="1">IF($H3="","",IF(ISERROR(MATCH($O3,Lge_Handicap!$B:$B,0)),1,0))</f>
        <v>0</v>
      </c>
      <c r="D3" s="20">
        <f ca="1">IF($H3="","",IF(AND(LEFT($P3,3)="Wom",ISERROR(MATCH($O3,Lge_Womens!$B:$B,0))),1,0))</f>
        <v>0</v>
      </c>
      <c r="E3" s="20">
        <f ca="1">IF($H3="","",IF(AND(OR($P3="Vet",$P3="Woman Vet"),ISERROR(MATCH($O3,Lge_Veterans!$B:$B,0))),1,0))</f>
        <v>0</v>
      </c>
      <c r="F3" s="20">
        <f ca="1">IF($H3="","",IF(AND(OR($P3="Junior",$P3="Youth"),ISERROR(MATCH($O3,Lge_Junior!$B:$B,0))),1,0))</f>
        <v>0</v>
      </c>
      <c r="G3" s="20">
        <f ca="1">IF($H3="","",IF(AND($P3="Youth",ISERROR(MATCH($O3,Lge_Youth!$B:$B,0))),1,0))</f>
        <v>0</v>
      </c>
      <c r="H3" s="16" t="str">
        <f ca="1">IFERROR(__xludf.DUMMYFUNCTION("""COMPUTED_VALUE"""),"45753_Sunday League_10")</f>
        <v>45753_Sunday League_10</v>
      </c>
      <c r="I3" s="16" t="str">
        <f ca="1">IFERROR(__xludf.DUMMYFUNCTION("""COMPUTED_VALUE"""),"45753_Sunday League_10_1")</f>
        <v>45753_Sunday League_10_1</v>
      </c>
      <c r="J3" s="16">
        <f ca="1">IFERROR(__xludf.DUMMYFUNCTION("""COMPUTED_VALUE"""),1)</f>
        <v>1</v>
      </c>
      <c r="K3" s="16" t="str">
        <f ca="1">IFERROR(__xludf.DUMMYFUNCTION("""COMPUTED_VALUE"""),"Sunday League")</f>
        <v>Sunday League</v>
      </c>
      <c r="L3" s="22">
        <f ca="1">IFERROR(__xludf.DUMMYFUNCTION("""COMPUTED_VALUE"""),45753)</f>
        <v>45753</v>
      </c>
      <c r="M3" s="16">
        <f ca="1">IFERROR(__xludf.DUMMYFUNCTION("""COMPUTED_VALUE"""),10)</f>
        <v>10</v>
      </c>
      <c r="N3" s="16">
        <f ca="1">IFERROR(__xludf.DUMMYFUNCTION("""COMPUTED_VALUE"""),1)</f>
        <v>1</v>
      </c>
      <c r="O3" s="16" t="str">
        <f ca="1">IFERROR(__xludf.DUMMYFUNCTION("""COMPUTED_VALUE"""),"Philip Brant")</f>
        <v>Philip Brant</v>
      </c>
      <c r="P3" s="16" t="str">
        <f ca="1">IFERROR(__xludf.DUMMYFUNCTION("""COMPUTED_VALUE"""),"Vet")</f>
        <v>Vet</v>
      </c>
      <c r="Q3" s="23">
        <f ca="1">IFERROR(__xludf.DUMMYFUNCTION("""COMPUTED_VALUE"""),0.0183217592592592)</f>
        <v>1.8321759259259201E-2</v>
      </c>
      <c r="R3" s="16" t="str">
        <f ca="1">IFERROR(__xludf.DUMMYFUNCTION("""COMPUTED_VALUE"""),"First E7 10 mile TT")</f>
        <v>First E7 10 mile TT</v>
      </c>
      <c r="S3" s="16">
        <f ca="1">IFERROR(__xludf.DUMMYFUNCTION("""COMPUTED_VALUE"""),60)</f>
        <v>60</v>
      </c>
      <c r="T3" s="23">
        <f ca="1">IFERROR(__xludf.DUMMYFUNCTION("""COMPUTED_VALUE"""),0.012488)</f>
        <v>1.2488000000000001E-2</v>
      </c>
      <c r="U3" s="16">
        <f ca="1">IFERROR(__xludf.DUMMYFUNCTION("""COMPUTED_VALUE"""),1)</f>
        <v>1</v>
      </c>
      <c r="V3" s="16">
        <f ca="1">IFERROR(__xludf.DUMMYFUNCTION("""COMPUTED_VALUE"""),60)</f>
        <v>60</v>
      </c>
      <c r="W3" s="23">
        <f ca="1">IFERROR(__xludf.DUMMYFUNCTION("""COMPUTED_VALUE"""),0.0157986111111111)</f>
        <v>1.57986111111111E-2</v>
      </c>
      <c r="X3" s="16">
        <f ca="1">IFERROR(__xludf.DUMMYFUNCTION("""COMPUTED_VALUE"""),1)</f>
        <v>1</v>
      </c>
      <c r="Y3" s="16">
        <f ca="1">IFERROR(__xludf.DUMMYFUNCTION("""COMPUTED_VALUE"""),60)</f>
        <v>60</v>
      </c>
      <c r="Z3" s="16">
        <f ca="1">IFERROR(__xludf.DUMMYFUNCTION("""COMPUTED_VALUE"""),0)</f>
        <v>0</v>
      </c>
      <c r="AA3" s="16">
        <f ca="1">IFERROR(__xludf.DUMMYFUNCTION("""COMPUTED_VALUE"""),0)</f>
        <v>0</v>
      </c>
      <c r="AB3" s="16">
        <f ca="1">IFERROR(__xludf.DUMMYFUNCTION("""COMPUTED_VALUE"""),0)</f>
        <v>0</v>
      </c>
      <c r="AC3" s="16">
        <f ca="1">IFERROR(__xludf.DUMMYFUNCTION("""COMPUTED_VALUE"""),0)</f>
        <v>0</v>
      </c>
      <c r="AD3" s="16">
        <f ca="1">IFERROR(__xludf.DUMMYFUNCTION("""COMPUTED_VALUE"""),0)</f>
        <v>0</v>
      </c>
      <c r="AE3" s="16">
        <f ca="1">IFERROR(__xludf.DUMMYFUNCTION("""COMPUTED_VALUE"""),0)</f>
        <v>0</v>
      </c>
      <c r="AF3" s="16" t="str">
        <f ca="1">IFERROR(__xludf.DUMMYFUNCTION("""COMPUTED_VALUE"""),"")</f>
        <v/>
      </c>
      <c r="AG3" s="16">
        <f ca="1">IFERROR(__xludf.DUMMYFUNCTION("""COMPUTED_VALUE"""),0)</f>
        <v>0</v>
      </c>
      <c r="AH3" s="16">
        <f ca="1">IFERROR(__xludf.DUMMYFUNCTION("""COMPUTED_VALUE"""),0)</f>
        <v>0</v>
      </c>
      <c r="AI3" s="16" t="str">
        <f ca="1">IFERROR(__xludf.DUMMYFUNCTION("""COMPUTED_VALUE"""),"")</f>
        <v/>
      </c>
      <c r="AJ3" s="16" t="str">
        <f ca="1">IFERROR(__xludf.DUMMYFUNCTION("""COMPUTED_VALUE"""),"First E7 10 mile TT")</f>
        <v>First E7 10 mile TT</v>
      </c>
      <c r="AK3" s="16" t="str">
        <f ca="1">IFERROR(__xludf.DUMMYFUNCTION("""COMPUTED_VALUE"""),"")</f>
        <v/>
      </c>
      <c r="AL3" s="16" t="str">
        <f ca="1">IFERROR(__xludf.DUMMYFUNCTION("""COMPUTED_VALUE"""),"")</f>
        <v/>
      </c>
      <c r="AM3" s="16" t="str">
        <f ca="1">IFERROR(__xludf.DUMMYFUNCTION("""COMPUTED_VALUE"""),"")</f>
        <v/>
      </c>
      <c r="AN3" s="24" t="str">
        <f ca="1">IFERROR(__xludf.DUMMYFUNCTION("""COMPUTED_VALUE"""),"")</f>
        <v/>
      </c>
    </row>
    <row r="4" spans="1:40" x14ac:dyDescent="0.2">
      <c r="A4" s="20">
        <f ca="1">IF($H4="","",IF(ISERROR(MATCH($O4,Lge_Scratch!$B:$B,0)),1,0))</f>
        <v>0</v>
      </c>
      <c r="B4" s="20">
        <f ca="1">IF($H4="","",IF(AND($AG4&gt;0,ISERROR(MATCH($O4,Lge_NonAero!$B:$B,0))),1,0))</f>
        <v>0</v>
      </c>
      <c r="C4" s="20">
        <f ca="1">IF($H4="","",IF(ISERROR(MATCH($O4,Lge_Handicap!$B:$B,0)),1,0))</f>
        <v>0</v>
      </c>
      <c r="D4" s="20">
        <f ca="1">IF($H4="","",IF(AND(LEFT($P4,3)="Wom",ISERROR(MATCH($O4,Lge_Womens!$B:$B,0))),1,0))</f>
        <v>0</v>
      </c>
      <c r="E4" s="20">
        <f ca="1">IF($H4="","",IF(AND(OR($P4="Vet",$P4="Woman Vet"),ISERROR(MATCH($O4,Lge_Veterans!$B:$B,0))),1,0))</f>
        <v>0</v>
      </c>
      <c r="F4" s="20">
        <f ca="1">IF($H4="","",IF(AND(OR($P4="Junior",$P4="Youth"),ISERROR(MATCH($O4,Lge_Junior!$B:$B,0))),1,0))</f>
        <v>0</v>
      </c>
      <c r="G4" s="20">
        <f ca="1">IF($H4="","",IF(AND($P4="Youth",ISERROR(MATCH($O4,Lge_Youth!$B:$B,0))),1,0))</f>
        <v>0</v>
      </c>
      <c r="H4" s="16" t="str">
        <f ca="1">IFERROR(__xludf.DUMMYFUNCTION("""COMPUTED_VALUE"""),"45768_Sunday League_10")</f>
        <v>45768_Sunday League_10</v>
      </c>
      <c r="I4" s="16" t="str">
        <f ca="1">IFERROR(__xludf.DUMMYFUNCTION("""COMPUTED_VALUE"""),"45768_Sunday League_10_1")</f>
        <v>45768_Sunday League_10_1</v>
      </c>
      <c r="J4" s="16">
        <f ca="1">IFERROR(__xludf.DUMMYFUNCTION("""COMPUTED_VALUE"""),20)</f>
        <v>20</v>
      </c>
      <c r="K4" s="16" t="str">
        <f ca="1">IFERROR(__xludf.DUMMYFUNCTION("""COMPUTED_VALUE"""),"Sunday League")</f>
        <v>Sunday League</v>
      </c>
      <c r="L4" s="22">
        <f ca="1">IFERROR(__xludf.DUMMYFUNCTION("""COMPUTED_VALUE"""),45768)</f>
        <v>45768</v>
      </c>
      <c r="M4" s="16">
        <f ca="1">IFERROR(__xludf.DUMMYFUNCTION("""COMPUTED_VALUE"""),10)</f>
        <v>10</v>
      </c>
      <c r="N4" s="16">
        <f ca="1">IFERROR(__xludf.DUMMYFUNCTION("""COMPUTED_VALUE"""),1)</f>
        <v>1</v>
      </c>
      <c r="O4" s="16" t="str">
        <f ca="1">IFERROR(__xludf.DUMMYFUNCTION("""COMPUTED_VALUE"""),"Marc Brant")</f>
        <v>Marc Brant</v>
      </c>
      <c r="P4" s="16" t="str">
        <f ca="1">IFERROR(__xludf.DUMMYFUNCTION("""COMPUTED_VALUE"""),"Vet")</f>
        <v>Vet</v>
      </c>
      <c r="Q4" s="23">
        <f ca="1">IFERROR(__xludf.DUMMYFUNCTION("""COMPUTED_VALUE"""),0.0166550925925925)</f>
        <v>1.6655092592592499E-2</v>
      </c>
      <c r="R4" s="16" t="str">
        <f ca="1">IFERROR(__xludf.DUMMYFUNCTION("""COMPUTED_VALUE"""),"PB")</f>
        <v>PB</v>
      </c>
      <c r="S4" s="16">
        <f ca="1">IFERROR(__xludf.DUMMYFUNCTION("""COMPUTED_VALUE"""),60)</f>
        <v>60</v>
      </c>
      <c r="T4" s="23">
        <f ca="1">IFERROR(__xludf.DUMMYFUNCTION("""COMPUTED_VALUE"""),0.01147)</f>
        <v>1.1469999999999999E-2</v>
      </c>
      <c r="U4" s="16">
        <f ca="1">IFERROR(__xludf.DUMMYFUNCTION("""COMPUTED_VALUE"""),1)</f>
        <v>1</v>
      </c>
      <c r="V4" s="16">
        <f ca="1">IFERROR(__xludf.DUMMYFUNCTION("""COMPUTED_VALUE"""),60)</f>
        <v>60</v>
      </c>
      <c r="W4" s="23">
        <f ca="1">IFERROR(__xludf.DUMMYFUNCTION("""COMPUTED_VALUE"""),0.0161111111111111)</f>
        <v>1.61111111111111E-2</v>
      </c>
      <c r="X4" s="16">
        <f ca="1">IFERROR(__xludf.DUMMYFUNCTION("""COMPUTED_VALUE"""),2)</f>
        <v>2</v>
      </c>
      <c r="Y4" s="16">
        <f ca="1">IFERROR(__xludf.DUMMYFUNCTION("""COMPUTED_VALUE"""),59)</f>
        <v>59</v>
      </c>
      <c r="Z4" s="16">
        <f ca="1">IFERROR(__xludf.DUMMYFUNCTION("""COMPUTED_VALUE"""),0)</f>
        <v>0</v>
      </c>
      <c r="AA4" s="16">
        <f ca="1">IFERROR(__xludf.DUMMYFUNCTION("""COMPUTED_VALUE"""),0)</f>
        <v>0</v>
      </c>
      <c r="AB4" s="16">
        <f ca="1">IFERROR(__xludf.DUMMYFUNCTION("""COMPUTED_VALUE"""),0)</f>
        <v>0</v>
      </c>
      <c r="AC4" s="16">
        <f ca="1">IFERROR(__xludf.DUMMYFUNCTION("""COMPUTED_VALUE"""),0)</f>
        <v>0</v>
      </c>
      <c r="AD4" s="16">
        <f ca="1">IFERROR(__xludf.DUMMYFUNCTION("""COMPUTED_VALUE"""),0)</f>
        <v>0</v>
      </c>
      <c r="AE4" s="16">
        <f ca="1">IFERROR(__xludf.DUMMYFUNCTION("""COMPUTED_VALUE"""),0)</f>
        <v>0</v>
      </c>
      <c r="AF4" s="16" t="str">
        <f ca="1">IFERROR(__xludf.DUMMYFUNCTION("""COMPUTED_VALUE"""),"")</f>
        <v/>
      </c>
      <c r="AG4" s="16">
        <f ca="1">IFERROR(__xludf.DUMMYFUNCTION("""COMPUTED_VALUE"""),0)</f>
        <v>0</v>
      </c>
      <c r="AH4" s="16">
        <f ca="1">IFERROR(__xludf.DUMMYFUNCTION("""COMPUTED_VALUE"""),0)</f>
        <v>0</v>
      </c>
      <c r="AI4" s="16" t="str">
        <f ca="1">IFERROR(__xludf.DUMMYFUNCTION("""COMPUTED_VALUE"""),"")</f>
        <v/>
      </c>
      <c r="AJ4" s="16" t="str">
        <f ca="1">IFERROR(__xludf.DUMMYFUNCTION("""COMPUTED_VALUE"""),"")</f>
        <v/>
      </c>
      <c r="AK4" s="16" t="str">
        <f ca="1">IFERROR(__xludf.DUMMYFUNCTION("""COMPUTED_VALUE"""),"PB")</f>
        <v>PB</v>
      </c>
      <c r="AL4" s="16" t="str">
        <f ca="1">IFERROR(__xludf.DUMMYFUNCTION("""COMPUTED_VALUE"""),"")</f>
        <v/>
      </c>
      <c r="AM4" s="16" t="str">
        <f ca="1">IFERROR(__xludf.DUMMYFUNCTION("""COMPUTED_VALUE"""),"")</f>
        <v/>
      </c>
      <c r="AN4" s="24" t="str">
        <f ca="1">IFERROR(__xludf.DUMMYFUNCTION("""COMPUTED_VALUE"""),"")</f>
        <v/>
      </c>
    </row>
    <row r="5" spans="1:40" x14ac:dyDescent="0.2">
      <c r="A5" s="20">
        <f ca="1">IF($H5="","",IF(ISERROR(MATCH($O5,Lge_Scratch!$B:$B,0)),1,0))</f>
        <v>0</v>
      </c>
      <c r="B5" s="20">
        <f ca="1">IF($H5="","",IF(AND($AG5&gt;0,ISERROR(MATCH($O5,Lge_NonAero!$B:$B,0))),1,0))</f>
        <v>0</v>
      </c>
      <c r="C5" s="20">
        <f ca="1">IF($H5="","",IF(ISERROR(MATCH($O5,Lge_Handicap!$B:$B,0)),1,0))</f>
        <v>0</v>
      </c>
      <c r="D5" s="20">
        <f ca="1">IF($H5="","",IF(AND(LEFT($P5,3)="Wom",ISERROR(MATCH($O5,Lge_Womens!$B:$B,0))),1,0))</f>
        <v>0</v>
      </c>
      <c r="E5" s="20">
        <f ca="1">IF($H5="","",IF(AND(OR($P5="Vet",$P5="Woman Vet"),ISERROR(MATCH($O5,Lge_Veterans!$B:$B,0))),1,0))</f>
        <v>0</v>
      </c>
      <c r="F5" s="20">
        <f ca="1">IF($H5="","",IF(AND(OR($P5="Junior",$P5="Youth"),ISERROR(MATCH($O5,Lge_Junior!$B:$B,0))),1,0))</f>
        <v>0</v>
      </c>
      <c r="G5" s="20">
        <f ca="1">IF($H5="","",IF(AND($P5="Youth",ISERROR(MATCH($O5,Lge_Youth!$B:$B,0))),1,0))</f>
        <v>0</v>
      </c>
      <c r="H5" s="16" t="str">
        <f ca="1">IFERROR(__xludf.DUMMYFUNCTION("""COMPUTED_VALUE"""),"45768_Sunday League_10")</f>
        <v>45768_Sunday League_10</v>
      </c>
      <c r="I5" s="16" t="str">
        <f ca="1">IFERROR(__xludf.DUMMYFUNCTION("""COMPUTED_VALUE"""),"45768_Sunday League_10_2")</f>
        <v>45768_Sunday League_10_2</v>
      </c>
      <c r="J5" s="16">
        <f ca="1">IFERROR(__xludf.DUMMYFUNCTION("""COMPUTED_VALUE"""),20)</f>
        <v>20</v>
      </c>
      <c r="K5" s="16" t="str">
        <f ca="1">IFERROR(__xludf.DUMMYFUNCTION("""COMPUTED_VALUE"""),"Sunday League")</f>
        <v>Sunday League</v>
      </c>
      <c r="L5" s="22">
        <f ca="1">IFERROR(__xludf.DUMMYFUNCTION("""COMPUTED_VALUE"""),45768)</f>
        <v>45768</v>
      </c>
      <c r="M5" s="16">
        <f ca="1">IFERROR(__xludf.DUMMYFUNCTION("""COMPUTED_VALUE"""),10)</f>
        <v>10</v>
      </c>
      <c r="N5" s="16">
        <f ca="1">IFERROR(__xludf.DUMMYFUNCTION("""COMPUTED_VALUE"""),2)</f>
        <v>2</v>
      </c>
      <c r="O5" s="16" t="str">
        <f ca="1">IFERROR(__xludf.DUMMYFUNCTION("""COMPUTED_VALUE"""),"David Carey")</f>
        <v>David Carey</v>
      </c>
      <c r="P5" s="16" t="str">
        <f ca="1">IFERROR(__xludf.DUMMYFUNCTION("""COMPUTED_VALUE"""),"Vet")</f>
        <v>Vet</v>
      </c>
      <c r="Q5" s="23">
        <f ca="1">IFERROR(__xludf.DUMMYFUNCTION("""COMPUTED_VALUE"""),0.0168518518518518)</f>
        <v>1.6851851851851798E-2</v>
      </c>
      <c r="R5" s="16" t="str">
        <f ca="1">IFERROR(__xludf.DUMMYFUNCTION("""COMPUTED_VALUE"""),"CB")</f>
        <v>CB</v>
      </c>
      <c r="S5" s="16">
        <f ca="1">IFERROR(__xludf.DUMMYFUNCTION("""COMPUTED_VALUE"""),59)</f>
        <v>59</v>
      </c>
      <c r="T5" s="23">
        <f ca="1">IFERROR(__xludf.DUMMYFUNCTION("""COMPUTED_VALUE"""),0.012477)</f>
        <v>1.2477E-2</v>
      </c>
      <c r="U5" s="16">
        <f ca="1">IFERROR(__xludf.DUMMYFUNCTION("""COMPUTED_VALUE"""),11)</f>
        <v>11</v>
      </c>
      <c r="V5" s="16">
        <f ca="1">IFERROR(__xludf.DUMMYFUNCTION("""COMPUTED_VALUE"""),50)</f>
        <v>50</v>
      </c>
      <c r="W5" s="23">
        <f ca="1">IFERROR(__xludf.DUMMYFUNCTION("""COMPUTED_VALUE"""),0.0161689814814814)</f>
        <v>1.6168981481481399E-2</v>
      </c>
      <c r="X5" s="16">
        <f ca="1">IFERROR(__xludf.DUMMYFUNCTION("""COMPUTED_VALUE"""),4)</f>
        <v>4</v>
      </c>
      <c r="Y5" s="16">
        <f ca="1">IFERROR(__xludf.DUMMYFUNCTION("""COMPUTED_VALUE"""),57)</f>
        <v>57</v>
      </c>
      <c r="Z5" s="16">
        <f ca="1">IFERROR(__xludf.DUMMYFUNCTION("""COMPUTED_VALUE"""),0)</f>
        <v>0</v>
      </c>
      <c r="AA5" s="16">
        <f ca="1">IFERROR(__xludf.DUMMYFUNCTION("""COMPUTED_VALUE"""),0)</f>
        <v>0</v>
      </c>
      <c r="AB5" s="16">
        <f ca="1">IFERROR(__xludf.DUMMYFUNCTION("""COMPUTED_VALUE"""),0)</f>
        <v>0</v>
      </c>
      <c r="AC5" s="16">
        <f ca="1">IFERROR(__xludf.DUMMYFUNCTION("""COMPUTED_VALUE"""),0)</f>
        <v>0</v>
      </c>
      <c r="AD5" s="16">
        <f ca="1">IFERROR(__xludf.DUMMYFUNCTION("""COMPUTED_VALUE"""),0)</f>
        <v>0</v>
      </c>
      <c r="AE5" s="16">
        <f ca="1">IFERROR(__xludf.DUMMYFUNCTION("""COMPUTED_VALUE"""),0)</f>
        <v>0</v>
      </c>
      <c r="AF5" s="16" t="str">
        <f ca="1">IFERROR(__xludf.DUMMYFUNCTION("""COMPUTED_VALUE"""),"")</f>
        <v/>
      </c>
      <c r="AG5" s="16">
        <f ca="1">IFERROR(__xludf.DUMMYFUNCTION("""COMPUTED_VALUE"""),0)</f>
        <v>0</v>
      </c>
      <c r="AH5" s="16">
        <f ca="1">IFERROR(__xludf.DUMMYFUNCTION("""COMPUTED_VALUE"""),0)</f>
        <v>0</v>
      </c>
      <c r="AI5" s="16" t="str">
        <f ca="1">IFERROR(__xludf.DUMMYFUNCTION("""COMPUTED_VALUE"""),"")</f>
        <v/>
      </c>
      <c r="AJ5" s="16" t="str">
        <f ca="1">IFERROR(__xludf.DUMMYFUNCTION("""COMPUTED_VALUE"""),"")</f>
        <v/>
      </c>
      <c r="AK5" s="16" t="str">
        <f ca="1">IFERROR(__xludf.DUMMYFUNCTION("""COMPUTED_VALUE"""),"CB")</f>
        <v>CB</v>
      </c>
      <c r="AL5" s="16" t="str">
        <f ca="1">IFERROR(__xludf.DUMMYFUNCTION("""COMPUTED_VALUE"""),"")</f>
        <v/>
      </c>
      <c r="AM5" s="16" t="str">
        <f ca="1">IFERROR(__xludf.DUMMYFUNCTION("""COMPUTED_VALUE"""),"")</f>
        <v/>
      </c>
      <c r="AN5" s="24" t="str">
        <f ca="1">IFERROR(__xludf.DUMMYFUNCTION("""COMPUTED_VALUE"""),"")</f>
        <v/>
      </c>
    </row>
    <row r="6" spans="1:40" x14ac:dyDescent="0.2">
      <c r="A6" s="20">
        <f ca="1">IF($H6="","",IF(ISERROR(MATCH($O6,Lge_Scratch!$B:$B,0)),1,0))</f>
        <v>0</v>
      </c>
      <c r="B6" s="20">
        <f ca="1">IF($H6="","",IF(AND($AG6&gt;0,ISERROR(MATCH($O6,Lge_NonAero!$B:$B,0))),1,0))</f>
        <v>0</v>
      </c>
      <c r="C6" s="20">
        <f ca="1">IF($H6="","",IF(ISERROR(MATCH($O6,Lge_Handicap!$B:$B,0)),1,0))</f>
        <v>0</v>
      </c>
      <c r="D6" s="20">
        <f ca="1">IF($H6="","",IF(AND(LEFT($P6,3)="Wom",ISERROR(MATCH($O6,Lge_Womens!$B:$B,0))),1,0))</f>
        <v>0</v>
      </c>
      <c r="E6" s="20">
        <f ca="1">IF($H6="","",IF(AND(OR($P6="Vet",$P6="Woman Vet"),ISERROR(MATCH($O6,Lge_Veterans!$B:$B,0))),1,0))</f>
        <v>0</v>
      </c>
      <c r="F6" s="20">
        <f ca="1">IF($H6="","",IF(AND(OR($P6="Junior",$P6="Youth"),ISERROR(MATCH($O6,Lge_Junior!$B:$B,0))),1,0))</f>
        <v>0</v>
      </c>
      <c r="G6" s="20">
        <f ca="1">IF($H6="","",IF(AND($P6="Youth",ISERROR(MATCH($O6,Lge_Youth!$B:$B,0))),1,0))</f>
        <v>0</v>
      </c>
      <c r="H6" s="16" t="str">
        <f ca="1">IFERROR(__xludf.DUMMYFUNCTION("""COMPUTED_VALUE"""),"45768_Sunday League_10")</f>
        <v>45768_Sunday League_10</v>
      </c>
      <c r="I6" s="16" t="str">
        <f ca="1">IFERROR(__xludf.DUMMYFUNCTION("""COMPUTED_VALUE"""),"45768_Sunday League_10_3")</f>
        <v>45768_Sunday League_10_3</v>
      </c>
      <c r="J6" s="16">
        <f ca="1">IFERROR(__xludf.DUMMYFUNCTION("""COMPUTED_VALUE"""),20)</f>
        <v>20</v>
      </c>
      <c r="K6" s="16" t="str">
        <f ca="1">IFERROR(__xludf.DUMMYFUNCTION("""COMPUTED_VALUE"""),"Sunday League")</f>
        <v>Sunday League</v>
      </c>
      <c r="L6" s="22">
        <f ca="1">IFERROR(__xludf.DUMMYFUNCTION("""COMPUTED_VALUE"""),45768)</f>
        <v>45768</v>
      </c>
      <c r="M6" s="16">
        <f ca="1">IFERROR(__xludf.DUMMYFUNCTION("""COMPUTED_VALUE"""),10)</f>
        <v>10</v>
      </c>
      <c r="N6" s="16">
        <f ca="1">IFERROR(__xludf.DUMMYFUNCTION("""COMPUTED_VALUE"""),3)</f>
        <v>3</v>
      </c>
      <c r="O6" s="16" t="str">
        <f ca="1">IFERROR(__xludf.DUMMYFUNCTION("""COMPUTED_VALUE"""),"Philip Brant")</f>
        <v>Philip Brant</v>
      </c>
      <c r="P6" s="16" t="str">
        <f ca="1">IFERROR(__xludf.DUMMYFUNCTION("""COMPUTED_VALUE"""),"Vet")</f>
        <v>Vet</v>
      </c>
      <c r="Q6" s="23">
        <f ca="1">IFERROR(__xludf.DUMMYFUNCTION("""COMPUTED_VALUE"""),0.0179513888888888)</f>
        <v>1.7951388888888802E-2</v>
      </c>
      <c r="R6" s="16" t="str">
        <f ca="1">IFERROR(__xludf.DUMMYFUNCTION("""COMPUTED_VALUE"""),"")</f>
        <v/>
      </c>
      <c r="S6" s="16">
        <f ca="1">IFERROR(__xludf.DUMMYFUNCTION("""COMPUTED_VALUE"""),58)</f>
        <v>58</v>
      </c>
      <c r="T6" s="23">
        <f ca="1">IFERROR(__xludf.DUMMYFUNCTION("""COMPUTED_VALUE"""),0.012118)</f>
        <v>1.2118E-2</v>
      </c>
      <c r="U6" s="16">
        <f ca="1">IFERROR(__xludf.DUMMYFUNCTION("""COMPUTED_VALUE"""),10)</f>
        <v>10</v>
      </c>
      <c r="V6" s="16">
        <f ca="1">IFERROR(__xludf.DUMMYFUNCTION("""COMPUTED_VALUE"""),51)</f>
        <v>51</v>
      </c>
      <c r="W6" s="23">
        <f ca="1">IFERROR(__xludf.DUMMYFUNCTION("""COMPUTED_VALUE"""),0.0154282407407407)</f>
        <v>1.5428240740740701E-2</v>
      </c>
      <c r="X6" s="16">
        <f ca="1">IFERROR(__xludf.DUMMYFUNCTION("""COMPUTED_VALUE"""),1)</f>
        <v>1</v>
      </c>
      <c r="Y6" s="16">
        <f ca="1">IFERROR(__xludf.DUMMYFUNCTION("""COMPUTED_VALUE"""),60)</f>
        <v>60</v>
      </c>
      <c r="Z6" s="16">
        <f ca="1">IFERROR(__xludf.DUMMYFUNCTION("""COMPUTED_VALUE"""),0)</f>
        <v>0</v>
      </c>
      <c r="AA6" s="16">
        <f ca="1">IFERROR(__xludf.DUMMYFUNCTION("""COMPUTED_VALUE"""),0)</f>
        <v>0</v>
      </c>
      <c r="AB6" s="16">
        <f ca="1">IFERROR(__xludf.DUMMYFUNCTION("""COMPUTED_VALUE"""),0)</f>
        <v>0</v>
      </c>
      <c r="AC6" s="16">
        <f ca="1">IFERROR(__xludf.DUMMYFUNCTION("""COMPUTED_VALUE"""),0)</f>
        <v>0</v>
      </c>
      <c r="AD6" s="16">
        <f ca="1">IFERROR(__xludf.DUMMYFUNCTION("""COMPUTED_VALUE"""),0)</f>
        <v>0</v>
      </c>
      <c r="AE6" s="16">
        <f ca="1">IFERROR(__xludf.DUMMYFUNCTION("""COMPUTED_VALUE"""),0)</f>
        <v>0</v>
      </c>
      <c r="AF6" s="16" t="str">
        <f ca="1">IFERROR(__xludf.DUMMYFUNCTION("""COMPUTED_VALUE"""),"")</f>
        <v/>
      </c>
      <c r="AG6" s="16">
        <f ca="1">IFERROR(__xludf.DUMMYFUNCTION("""COMPUTED_VALUE"""),0)</f>
        <v>0</v>
      </c>
      <c r="AH6" s="16">
        <f ca="1">IFERROR(__xludf.DUMMYFUNCTION("""COMPUTED_VALUE"""),0)</f>
        <v>0</v>
      </c>
      <c r="AI6" s="16" t="str">
        <f ca="1">IFERROR(__xludf.DUMMYFUNCTION("""COMPUTED_VALUE"""),"")</f>
        <v/>
      </c>
      <c r="AJ6" s="16" t="str">
        <f ca="1">IFERROR(__xludf.DUMMYFUNCTION("""COMPUTED_VALUE"""),"")</f>
        <v/>
      </c>
      <c r="AK6" s="16" t="str">
        <f ca="1">IFERROR(__xludf.DUMMYFUNCTION("""COMPUTED_VALUE"""),"")</f>
        <v/>
      </c>
      <c r="AL6" s="16" t="str">
        <f ca="1">IFERROR(__xludf.DUMMYFUNCTION("""COMPUTED_VALUE"""),"")</f>
        <v/>
      </c>
      <c r="AM6" s="16" t="str">
        <f ca="1">IFERROR(__xludf.DUMMYFUNCTION("""COMPUTED_VALUE"""),"")</f>
        <v/>
      </c>
      <c r="AN6" s="24" t="str">
        <f ca="1">IFERROR(__xludf.DUMMYFUNCTION("""COMPUTED_VALUE"""),"")</f>
        <v/>
      </c>
    </row>
    <row r="7" spans="1:40" x14ac:dyDescent="0.2">
      <c r="A7" s="20">
        <f ca="1">IF($H7="","",IF(ISERROR(MATCH($O7,Lge_Scratch!$B:$B,0)),1,0))</f>
        <v>0</v>
      </c>
      <c r="B7" s="20">
        <f ca="1">IF($H7="","",IF(AND($AG7&gt;0,ISERROR(MATCH($O7,Lge_NonAero!$B:$B,0))),1,0))</f>
        <v>0</v>
      </c>
      <c r="C7" s="20">
        <f ca="1">IF($H7="","",IF(ISERROR(MATCH($O7,Lge_Handicap!$B:$B,0)),1,0))</f>
        <v>0</v>
      </c>
      <c r="D7" s="20">
        <f ca="1">IF($H7="","",IF(AND(LEFT($P7,3)="Wom",ISERROR(MATCH($O7,Lge_Womens!$B:$B,0))),1,0))</f>
        <v>0</v>
      </c>
      <c r="E7" s="20">
        <f ca="1">IF($H7="","",IF(AND(OR($P7="Vet",$P7="Woman Vet"),ISERROR(MATCH($O7,Lge_Veterans!$B:$B,0))),1,0))</f>
        <v>0</v>
      </c>
      <c r="F7" s="20">
        <f ca="1">IF($H7="","",IF(AND(OR($P7="Junior",$P7="Youth"),ISERROR(MATCH($O7,Lge_Junior!$B:$B,0))),1,0))</f>
        <v>0</v>
      </c>
      <c r="G7" s="20">
        <f ca="1">IF($H7="","",IF(AND($P7="Youth",ISERROR(MATCH($O7,Lge_Youth!$B:$B,0))),1,0))</f>
        <v>0</v>
      </c>
      <c r="H7" s="16" t="str">
        <f ca="1">IFERROR(__xludf.DUMMYFUNCTION("""COMPUTED_VALUE"""),"45768_Sunday League_10")</f>
        <v>45768_Sunday League_10</v>
      </c>
      <c r="I7" s="16" t="str">
        <f ca="1">IFERROR(__xludf.DUMMYFUNCTION("""COMPUTED_VALUE"""),"45768_Sunday League_10_4")</f>
        <v>45768_Sunday League_10_4</v>
      </c>
      <c r="J7" s="16">
        <f ca="1">IFERROR(__xludf.DUMMYFUNCTION("""COMPUTED_VALUE"""),20)</f>
        <v>20</v>
      </c>
      <c r="K7" s="16" t="str">
        <f ca="1">IFERROR(__xludf.DUMMYFUNCTION("""COMPUTED_VALUE"""),"Sunday League")</f>
        <v>Sunday League</v>
      </c>
      <c r="L7" s="22">
        <f ca="1">IFERROR(__xludf.DUMMYFUNCTION("""COMPUTED_VALUE"""),45768)</f>
        <v>45768</v>
      </c>
      <c r="M7" s="16">
        <f ca="1">IFERROR(__xludf.DUMMYFUNCTION("""COMPUTED_VALUE"""),10)</f>
        <v>10</v>
      </c>
      <c r="N7" s="16">
        <f ca="1">IFERROR(__xludf.DUMMYFUNCTION("""COMPUTED_VALUE"""),4)</f>
        <v>4</v>
      </c>
      <c r="O7" s="16" t="str">
        <f ca="1">IFERROR(__xludf.DUMMYFUNCTION("""COMPUTED_VALUE"""),"John-Paul Paduarno")</f>
        <v>John-Paul Paduarno</v>
      </c>
      <c r="P7" s="16" t="str">
        <f ca="1">IFERROR(__xludf.DUMMYFUNCTION("""COMPUTED_VALUE"""),"Vet")</f>
        <v>Vet</v>
      </c>
      <c r="Q7" s="23">
        <f ca="1">IFERROR(__xludf.DUMMYFUNCTION("""COMPUTED_VALUE"""),0.0180787037037037)</f>
        <v>1.8078703703703701E-2</v>
      </c>
      <c r="R7" s="16" t="str">
        <f ca="1">IFERROR(__xludf.DUMMYFUNCTION("""COMPUTED_VALUE"""),"Non-aero")</f>
        <v>Non-aero</v>
      </c>
      <c r="S7" s="16">
        <f ca="1">IFERROR(__xludf.DUMMYFUNCTION("""COMPUTED_VALUE"""),57)</f>
        <v>57</v>
      </c>
      <c r="T7" s="23">
        <f ca="1">IFERROR(__xludf.DUMMYFUNCTION("""COMPUTED_VALUE"""),0.012627)</f>
        <v>1.2626999999999999E-2</v>
      </c>
      <c r="U7" s="16">
        <f ca="1">IFERROR(__xludf.DUMMYFUNCTION("""COMPUTED_VALUE"""),14)</f>
        <v>14</v>
      </c>
      <c r="V7" s="16">
        <f ca="1">IFERROR(__xludf.DUMMYFUNCTION("""COMPUTED_VALUE"""),47)</f>
        <v>47</v>
      </c>
      <c r="W7" s="23">
        <f ca="1">IFERROR(__xludf.DUMMYFUNCTION("""COMPUTED_VALUE"""),0.0179166666666666)</f>
        <v>1.7916666666666602E-2</v>
      </c>
      <c r="X7" s="16">
        <f ca="1">IFERROR(__xludf.DUMMYFUNCTION("""COMPUTED_VALUE"""),8)</f>
        <v>8</v>
      </c>
      <c r="Y7" s="16">
        <f ca="1">IFERROR(__xludf.DUMMYFUNCTION("""COMPUTED_VALUE"""),53)</f>
        <v>53</v>
      </c>
      <c r="Z7" s="16">
        <f ca="1">IFERROR(__xludf.DUMMYFUNCTION("""COMPUTED_VALUE"""),0)</f>
        <v>0</v>
      </c>
      <c r="AA7" s="16">
        <f ca="1">IFERROR(__xludf.DUMMYFUNCTION("""COMPUTED_VALUE"""),0)</f>
        <v>0</v>
      </c>
      <c r="AB7" s="16">
        <f ca="1">IFERROR(__xludf.DUMMYFUNCTION("""COMPUTED_VALUE"""),0)</f>
        <v>0</v>
      </c>
      <c r="AC7" s="16">
        <f ca="1">IFERROR(__xludf.DUMMYFUNCTION("""COMPUTED_VALUE"""),0)</f>
        <v>0</v>
      </c>
      <c r="AD7" s="16">
        <f ca="1">IFERROR(__xludf.DUMMYFUNCTION("""COMPUTED_VALUE"""),0)</f>
        <v>0</v>
      </c>
      <c r="AE7" s="16">
        <f ca="1">IFERROR(__xludf.DUMMYFUNCTION("""COMPUTED_VALUE"""),0)</f>
        <v>0</v>
      </c>
      <c r="AF7" s="16">
        <f ca="1">IFERROR(__xludf.DUMMYFUNCTION("""COMPUTED_VALUE"""),1)</f>
        <v>1</v>
      </c>
      <c r="AG7" s="16">
        <f ca="1">IFERROR(__xludf.DUMMYFUNCTION("""COMPUTED_VALUE"""),60)</f>
        <v>60</v>
      </c>
      <c r="AH7" s="16">
        <f ca="1">IFERROR(__xludf.DUMMYFUNCTION("""COMPUTED_VALUE"""),0)</f>
        <v>0</v>
      </c>
      <c r="AI7" s="16">
        <f ca="1">IFERROR(__xludf.DUMMYFUNCTION("""COMPUTED_VALUE"""),1)</f>
        <v>1</v>
      </c>
      <c r="AJ7" s="16" t="str">
        <f ca="1">IFERROR(__xludf.DUMMYFUNCTION("""COMPUTED_VALUE"""),"")</f>
        <v/>
      </c>
      <c r="AK7" s="16" t="str">
        <f ca="1">IFERROR(__xludf.DUMMYFUNCTION("""COMPUTED_VALUE"""),"")</f>
        <v/>
      </c>
      <c r="AL7" s="16" t="str">
        <f ca="1">IFERROR(__xludf.DUMMYFUNCTION("""COMPUTED_VALUE"""),"")</f>
        <v/>
      </c>
      <c r="AM7" s="16" t="str">
        <f ca="1">IFERROR(__xludf.DUMMYFUNCTION("""COMPUTED_VALUE"""),"")</f>
        <v/>
      </c>
      <c r="AN7" s="24" t="str">
        <f ca="1">IFERROR(__xludf.DUMMYFUNCTION("""COMPUTED_VALUE"""),"")</f>
        <v/>
      </c>
    </row>
    <row r="8" spans="1:40" x14ac:dyDescent="0.2">
      <c r="A8" s="20">
        <f ca="1">IF($H8="","",IF(ISERROR(MATCH($O8,Lge_Scratch!$B:$B,0)),1,0))</f>
        <v>0</v>
      </c>
      <c r="B8" s="20">
        <f ca="1">IF($H8="","",IF(AND($AG8&gt;0,ISERROR(MATCH($O8,Lge_NonAero!$B:$B,0))),1,0))</f>
        <v>0</v>
      </c>
      <c r="C8" s="20">
        <f ca="1">IF($H8="","",IF(ISERROR(MATCH($O8,Lge_Handicap!$B:$B,0)),1,0))</f>
        <v>0</v>
      </c>
      <c r="D8" s="20">
        <f ca="1">IF($H8="","",IF(AND(LEFT($P8,3)="Wom",ISERROR(MATCH($O8,Lge_Womens!$B:$B,0))),1,0))</f>
        <v>0</v>
      </c>
      <c r="E8" s="20">
        <f ca="1">IF($H8="","",IF(AND(OR($P8="Vet",$P8="Woman Vet"),ISERROR(MATCH($O8,Lge_Veterans!$B:$B,0))),1,0))</f>
        <v>0</v>
      </c>
      <c r="F8" s="20">
        <f ca="1">IF($H8="","",IF(AND(OR($P8="Junior",$P8="Youth"),ISERROR(MATCH($O8,Lge_Junior!$B:$B,0))),1,0))</f>
        <v>0</v>
      </c>
      <c r="G8" s="20">
        <f ca="1">IF($H8="","",IF(AND($P8="Youth",ISERROR(MATCH($O8,Lge_Youth!$B:$B,0))),1,0))</f>
        <v>0</v>
      </c>
      <c r="H8" s="16" t="str">
        <f ca="1">IFERROR(__xludf.DUMMYFUNCTION("""COMPUTED_VALUE"""),"45768_Sunday League_10")</f>
        <v>45768_Sunday League_10</v>
      </c>
      <c r="I8" s="16" t="str">
        <f ca="1">IFERROR(__xludf.DUMMYFUNCTION("""COMPUTED_VALUE"""),"45768_Sunday League_10_5")</f>
        <v>45768_Sunday League_10_5</v>
      </c>
      <c r="J8" s="16">
        <f ca="1">IFERROR(__xludf.DUMMYFUNCTION("""COMPUTED_VALUE"""),20)</f>
        <v>20</v>
      </c>
      <c r="K8" s="16" t="str">
        <f ca="1">IFERROR(__xludf.DUMMYFUNCTION("""COMPUTED_VALUE"""),"Sunday League")</f>
        <v>Sunday League</v>
      </c>
      <c r="L8" s="22">
        <f ca="1">IFERROR(__xludf.DUMMYFUNCTION("""COMPUTED_VALUE"""),45768)</f>
        <v>45768</v>
      </c>
      <c r="M8" s="16">
        <f ca="1">IFERROR(__xludf.DUMMYFUNCTION("""COMPUTED_VALUE"""),10)</f>
        <v>10</v>
      </c>
      <c r="N8" s="16">
        <f ca="1">IFERROR(__xludf.DUMMYFUNCTION("""COMPUTED_VALUE"""),5)</f>
        <v>5</v>
      </c>
      <c r="O8" s="16" t="str">
        <f ca="1">IFERROR(__xludf.DUMMYFUNCTION("""COMPUTED_VALUE"""),"Wilbor Morgan-Hobbs")</f>
        <v>Wilbor Morgan-Hobbs</v>
      </c>
      <c r="P8" s="16" t="str">
        <f ca="1">IFERROR(__xludf.DUMMYFUNCTION("""COMPUTED_VALUE"""),"Youth")</f>
        <v>Youth</v>
      </c>
      <c r="Q8" s="23">
        <f ca="1">IFERROR(__xludf.DUMMYFUNCTION("""COMPUTED_VALUE"""),0.0181018518518518)</f>
        <v>1.81018518518518E-2</v>
      </c>
      <c r="R8" s="16" t="str">
        <f ca="1">IFERROR(__xludf.DUMMYFUNCTION("""COMPUTED_VALUE"""),"Non-aero PB")</f>
        <v>Non-aero PB</v>
      </c>
      <c r="S8" s="16">
        <f ca="1">IFERROR(__xludf.DUMMYFUNCTION("""COMPUTED_VALUE"""),56)</f>
        <v>56</v>
      </c>
      <c r="T8" s="23">
        <f ca="1">IFERROR(__xludf.DUMMYFUNCTION("""COMPUTED_VALUE"""),0.011574)</f>
        <v>1.1573999999999999E-2</v>
      </c>
      <c r="U8" s="16">
        <f ca="1">IFERROR(__xludf.DUMMYFUNCTION("""COMPUTED_VALUE"""),2)</f>
        <v>2</v>
      </c>
      <c r="V8" s="16">
        <f ca="1">IFERROR(__xludf.DUMMYFUNCTION("""COMPUTED_VALUE"""),59)</f>
        <v>59</v>
      </c>
      <c r="W8" s="23">
        <f ca="1">IFERROR(__xludf.DUMMYFUNCTION("""COMPUTED_VALUE"""),0)</f>
        <v>0</v>
      </c>
      <c r="X8" s="16">
        <f ca="1">IFERROR(__xludf.DUMMYFUNCTION("""COMPUTED_VALUE"""),0)</f>
        <v>0</v>
      </c>
      <c r="Y8" s="16">
        <f ca="1">IFERROR(__xludf.DUMMYFUNCTION("""COMPUTED_VALUE"""),0)</f>
        <v>0</v>
      </c>
      <c r="Z8" s="16">
        <f ca="1">IFERROR(__xludf.DUMMYFUNCTION("""COMPUTED_VALUE"""),0)</f>
        <v>0</v>
      </c>
      <c r="AA8" s="16">
        <f ca="1">IFERROR(__xludf.DUMMYFUNCTION("""COMPUTED_VALUE"""),0)</f>
        <v>0</v>
      </c>
      <c r="AB8" s="16">
        <f ca="1">IFERROR(__xludf.DUMMYFUNCTION("""COMPUTED_VALUE"""),1)</f>
        <v>1</v>
      </c>
      <c r="AC8" s="16">
        <f ca="1">IFERROR(__xludf.DUMMYFUNCTION("""COMPUTED_VALUE"""),60)</f>
        <v>60</v>
      </c>
      <c r="AD8" s="16">
        <f ca="1">IFERROR(__xludf.DUMMYFUNCTION("""COMPUTED_VALUE"""),1)</f>
        <v>1</v>
      </c>
      <c r="AE8" s="16">
        <f ca="1">IFERROR(__xludf.DUMMYFUNCTION("""COMPUTED_VALUE"""),60)</f>
        <v>60</v>
      </c>
      <c r="AF8" s="16">
        <f ca="1">IFERROR(__xludf.DUMMYFUNCTION("""COMPUTED_VALUE"""),2)</f>
        <v>2</v>
      </c>
      <c r="AG8" s="16">
        <f ca="1">IFERROR(__xludf.DUMMYFUNCTION("""COMPUTED_VALUE"""),59)</f>
        <v>59</v>
      </c>
      <c r="AH8" s="16">
        <f ca="1">IFERROR(__xludf.DUMMYFUNCTION("""COMPUTED_VALUE"""),0)</f>
        <v>0</v>
      </c>
      <c r="AI8" s="16">
        <f ca="1">IFERROR(__xludf.DUMMYFUNCTION("""COMPUTED_VALUE"""),2)</f>
        <v>2</v>
      </c>
      <c r="AJ8" s="16" t="str">
        <f ca="1">IFERROR(__xludf.DUMMYFUNCTION("""COMPUTED_VALUE"""),"")</f>
        <v/>
      </c>
      <c r="AK8" s="16" t="str">
        <f ca="1">IFERROR(__xludf.DUMMYFUNCTION("""COMPUTED_VALUE"""),"PB")</f>
        <v>PB</v>
      </c>
      <c r="AL8" s="16" t="str">
        <f ca="1">IFERROR(__xludf.DUMMYFUNCTION("""COMPUTED_VALUE"""),"")</f>
        <v/>
      </c>
      <c r="AM8" s="16" t="str">
        <f ca="1">IFERROR(__xludf.DUMMYFUNCTION("""COMPUTED_VALUE"""),"")</f>
        <v/>
      </c>
      <c r="AN8" s="24" t="str">
        <f ca="1">IFERROR(__xludf.DUMMYFUNCTION("""COMPUTED_VALUE"""),"")</f>
        <v/>
      </c>
    </row>
    <row r="9" spans="1:40" x14ac:dyDescent="0.2">
      <c r="A9" s="20">
        <f ca="1">IF($H9="","",IF(ISERROR(MATCH($O9,Lge_Scratch!$B:$B,0)),1,0))</f>
        <v>0</v>
      </c>
      <c r="B9" s="20">
        <f ca="1">IF($H9="","",IF(AND($AG9&gt;0,ISERROR(MATCH($O9,Lge_NonAero!$B:$B,0))),1,0))</f>
        <v>0</v>
      </c>
      <c r="C9" s="20">
        <f ca="1">IF($H9="","",IF(ISERROR(MATCH($O9,Lge_Handicap!$B:$B,0)),1,0))</f>
        <v>0</v>
      </c>
      <c r="D9" s="20">
        <f ca="1">IF($H9="","",IF(AND(LEFT($P9,3)="Wom",ISERROR(MATCH($O9,Lge_Womens!$B:$B,0))),1,0))</f>
        <v>0</v>
      </c>
      <c r="E9" s="20">
        <f ca="1">IF($H9="","",IF(AND(OR($P9="Vet",$P9="Woman Vet"),ISERROR(MATCH($O9,Lge_Veterans!$B:$B,0))),1,0))</f>
        <v>0</v>
      </c>
      <c r="F9" s="20">
        <f ca="1">IF($H9="","",IF(AND(OR($P9="Junior",$P9="Youth"),ISERROR(MATCH($O9,Lge_Junior!$B:$B,0))),1,0))</f>
        <v>0</v>
      </c>
      <c r="G9" s="20">
        <f ca="1">IF($H9="","",IF(AND($P9="Youth",ISERROR(MATCH($O9,Lge_Youth!$B:$B,0))),1,0))</f>
        <v>0</v>
      </c>
      <c r="H9" s="25" t="str">
        <f ca="1">IFERROR(__xludf.DUMMYFUNCTION("""COMPUTED_VALUE"""),"45768_Sunday League_10")</f>
        <v>45768_Sunday League_10</v>
      </c>
      <c r="I9" s="25" t="str">
        <f ca="1">IFERROR(__xludf.DUMMYFUNCTION("""COMPUTED_VALUE"""),"45768_Sunday League_10_6")</f>
        <v>45768_Sunday League_10_6</v>
      </c>
      <c r="J9" s="26">
        <f ca="1">IFERROR(__xludf.DUMMYFUNCTION("""COMPUTED_VALUE"""),20)</f>
        <v>20</v>
      </c>
      <c r="K9" s="25" t="str">
        <f ca="1">IFERROR(__xludf.DUMMYFUNCTION("""COMPUTED_VALUE"""),"Sunday League")</f>
        <v>Sunday League</v>
      </c>
      <c r="L9" s="22">
        <f ca="1">IFERROR(__xludf.DUMMYFUNCTION("""COMPUTED_VALUE"""),45768)</f>
        <v>45768</v>
      </c>
      <c r="M9" s="26">
        <f ca="1">IFERROR(__xludf.DUMMYFUNCTION("""COMPUTED_VALUE"""),10)</f>
        <v>10</v>
      </c>
      <c r="N9" s="26">
        <f ca="1">IFERROR(__xludf.DUMMYFUNCTION("""COMPUTED_VALUE"""),6)</f>
        <v>6</v>
      </c>
      <c r="O9" s="25" t="str">
        <f ca="1">IFERROR(__xludf.DUMMYFUNCTION("""COMPUTED_VALUE"""),"Isaac Phillips")</f>
        <v>Isaac Phillips</v>
      </c>
      <c r="P9" s="25" t="str">
        <f ca="1">IFERROR(__xludf.DUMMYFUNCTION("""COMPUTED_VALUE"""),"Senior")</f>
        <v>Senior</v>
      </c>
      <c r="Q9" s="27">
        <f ca="1">IFERROR(__xludf.DUMMYFUNCTION("""COMPUTED_VALUE"""),0.0183217592592592)</f>
        <v>1.8321759259259201E-2</v>
      </c>
      <c r="R9" s="25" t="str">
        <f ca="1">IFERROR(__xludf.DUMMYFUNCTION("""COMPUTED_VALUE"""),"Non-aero PB")</f>
        <v>Non-aero PB</v>
      </c>
      <c r="S9" s="26">
        <f ca="1">IFERROR(__xludf.DUMMYFUNCTION("""COMPUTED_VALUE"""),55)</f>
        <v>55</v>
      </c>
      <c r="T9" s="27">
        <f ca="1">IFERROR(__xludf.DUMMYFUNCTION("""COMPUTED_VALUE"""),0.011586)</f>
        <v>1.1586000000000001E-2</v>
      </c>
      <c r="U9" s="26">
        <f ca="1">IFERROR(__xludf.DUMMYFUNCTION("""COMPUTED_VALUE"""),3)</f>
        <v>3</v>
      </c>
      <c r="V9" s="26">
        <f ca="1">IFERROR(__xludf.DUMMYFUNCTION("""COMPUTED_VALUE"""),58)</f>
        <v>58</v>
      </c>
      <c r="W9" s="27">
        <f ca="1">IFERROR(__xludf.DUMMYFUNCTION("""COMPUTED_VALUE"""),0)</f>
        <v>0</v>
      </c>
      <c r="X9" s="26">
        <f ca="1">IFERROR(__xludf.DUMMYFUNCTION("""COMPUTED_VALUE"""),0)</f>
        <v>0</v>
      </c>
      <c r="Y9" s="26">
        <f ca="1">IFERROR(__xludf.DUMMYFUNCTION("""COMPUTED_VALUE"""),0)</f>
        <v>0</v>
      </c>
      <c r="Z9" s="26">
        <f ca="1">IFERROR(__xludf.DUMMYFUNCTION("""COMPUTED_VALUE"""),0)</f>
        <v>0</v>
      </c>
      <c r="AA9" s="26">
        <f ca="1">IFERROR(__xludf.DUMMYFUNCTION("""COMPUTED_VALUE"""),0)</f>
        <v>0</v>
      </c>
      <c r="AB9" s="26">
        <f ca="1">IFERROR(__xludf.DUMMYFUNCTION("""COMPUTED_VALUE"""),1)</f>
        <v>1</v>
      </c>
      <c r="AC9" s="26">
        <f ca="1">IFERROR(__xludf.DUMMYFUNCTION("""COMPUTED_VALUE"""),0)</f>
        <v>0</v>
      </c>
      <c r="AD9" s="26">
        <f ca="1">IFERROR(__xludf.DUMMYFUNCTION("""COMPUTED_VALUE"""),1)</f>
        <v>1</v>
      </c>
      <c r="AE9" s="26">
        <f ca="1">IFERROR(__xludf.DUMMYFUNCTION("""COMPUTED_VALUE"""),0)</f>
        <v>0</v>
      </c>
      <c r="AF9" s="26">
        <f ca="1">IFERROR(__xludf.DUMMYFUNCTION("""COMPUTED_VALUE"""),3)</f>
        <v>3</v>
      </c>
      <c r="AG9" s="26">
        <f ca="1">IFERROR(__xludf.DUMMYFUNCTION("""COMPUTED_VALUE"""),58)</f>
        <v>58</v>
      </c>
      <c r="AH9" s="26">
        <f ca="1">IFERROR(__xludf.DUMMYFUNCTION("""COMPUTED_VALUE"""),0)</f>
        <v>0</v>
      </c>
      <c r="AI9" s="26">
        <f ca="1">IFERROR(__xludf.DUMMYFUNCTION("""COMPUTED_VALUE"""),3)</f>
        <v>3</v>
      </c>
      <c r="AJ9" s="25" t="str">
        <f ca="1">IFERROR(__xludf.DUMMYFUNCTION("""COMPUTED_VALUE"""),"")</f>
        <v/>
      </c>
      <c r="AK9" s="25" t="str">
        <f ca="1">IFERROR(__xludf.DUMMYFUNCTION("""COMPUTED_VALUE"""),"PB")</f>
        <v>PB</v>
      </c>
      <c r="AL9" s="25" t="str">
        <f ca="1">IFERROR(__xludf.DUMMYFUNCTION("""COMPUTED_VALUE"""),"")</f>
        <v/>
      </c>
      <c r="AM9" s="25" t="str">
        <f ca="1">IFERROR(__xludf.DUMMYFUNCTION("""COMPUTED_VALUE"""),"")</f>
        <v/>
      </c>
      <c r="AN9" s="28" t="str">
        <f ca="1">IFERROR(__xludf.DUMMYFUNCTION("""COMPUTED_VALUE"""),"")</f>
        <v/>
      </c>
    </row>
    <row r="10" spans="1:40" x14ac:dyDescent="0.2">
      <c r="A10" s="20">
        <f ca="1">IF($H10="","",IF(ISERROR(MATCH($O10,Lge_Scratch!$B:$B,0)),1,0))</f>
        <v>0</v>
      </c>
      <c r="B10" s="20">
        <f ca="1">IF($H10="","",IF(AND($AG10&gt;0,ISERROR(MATCH($O10,Lge_NonAero!$B:$B,0))),1,0))</f>
        <v>0</v>
      </c>
      <c r="C10" s="20">
        <f ca="1">IF($H10="","",IF(ISERROR(MATCH($O10,Lge_Handicap!$B:$B,0)),1,0))</f>
        <v>0</v>
      </c>
      <c r="D10" s="20">
        <f ca="1">IF($H10="","",IF(AND(LEFT($P10,3)="Wom",ISERROR(MATCH($O10,Lge_Womens!$B:$B,0))),1,0))</f>
        <v>0</v>
      </c>
      <c r="E10" s="20">
        <f ca="1">IF($H10="","",IF(AND(OR($P10="Vet",$P10="Woman Vet"),ISERROR(MATCH($O10,Lge_Veterans!$B:$B,0))),1,0))</f>
        <v>0</v>
      </c>
      <c r="F10" s="20">
        <f ca="1">IF($H10="","",IF(AND(OR($P10="Junior",$P10="Youth"),ISERROR(MATCH($O10,Lge_Junior!$B:$B,0))),1,0))</f>
        <v>0</v>
      </c>
      <c r="G10" s="20">
        <f ca="1">IF($H10="","",IF(AND($P10="Youth",ISERROR(MATCH($O10,Lge_Youth!$B:$B,0))),1,0))</f>
        <v>0</v>
      </c>
      <c r="H10" s="25" t="str">
        <f ca="1">IFERROR(__xludf.DUMMYFUNCTION("""COMPUTED_VALUE"""),"45768_Sunday League_10")</f>
        <v>45768_Sunday League_10</v>
      </c>
      <c r="I10" s="25" t="str">
        <f ca="1">IFERROR(__xludf.DUMMYFUNCTION("""COMPUTED_VALUE"""),"45768_Sunday League_10_7")</f>
        <v>45768_Sunday League_10_7</v>
      </c>
      <c r="J10" s="26">
        <f ca="1">IFERROR(__xludf.DUMMYFUNCTION("""COMPUTED_VALUE"""),20)</f>
        <v>20</v>
      </c>
      <c r="K10" s="25" t="str">
        <f ca="1">IFERROR(__xludf.DUMMYFUNCTION("""COMPUTED_VALUE"""),"Sunday League")</f>
        <v>Sunday League</v>
      </c>
      <c r="L10" s="22">
        <f ca="1">IFERROR(__xludf.DUMMYFUNCTION("""COMPUTED_VALUE"""),45768)</f>
        <v>45768</v>
      </c>
      <c r="M10" s="26">
        <f ca="1">IFERROR(__xludf.DUMMYFUNCTION("""COMPUTED_VALUE"""),10)</f>
        <v>10</v>
      </c>
      <c r="N10" s="26">
        <f ca="1">IFERROR(__xludf.DUMMYFUNCTION("""COMPUTED_VALUE"""),7)</f>
        <v>7</v>
      </c>
      <c r="O10" s="25" t="str">
        <f ca="1">IFERROR(__xludf.DUMMYFUNCTION("""COMPUTED_VALUE"""),"Henry Jago")</f>
        <v>Henry Jago</v>
      </c>
      <c r="P10" s="25" t="str">
        <f ca="1">IFERROR(__xludf.DUMMYFUNCTION("""COMPUTED_VALUE"""),"Youth")</f>
        <v>Youth</v>
      </c>
      <c r="Q10" s="27">
        <f ca="1">IFERROR(__xludf.DUMMYFUNCTION("""COMPUTED_VALUE"""),0.0183796296296296)</f>
        <v>1.83796296296296E-2</v>
      </c>
      <c r="R10" s="25" t="str">
        <f ca="1">IFERROR(__xludf.DUMMYFUNCTION("""COMPUTED_VALUE"""),"Non-aero")</f>
        <v>Non-aero</v>
      </c>
      <c r="S10" s="26">
        <f ca="1">IFERROR(__xludf.DUMMYFUNCTION("""COMPUTED_VALUE"""),54)</f>
        <v>54</v>
      </c>
      <c r="T10" s="27">
        <f ca="1">IFERROR(__xludf.DUMMYFUNCTION("""COMPUTED_VALUE"""),0.012789)</f>
        <v>1.2789E-2</v>
      </c>
      <c r="U10" s="26">
        <f ca="1">IFERROR(__xludf.DUMMYFUNCTION("""COMPUTED_VALUE"""),16)</f>
        <v>16</v>
      </c>
      <c r="V10" s="26">
        <f ca="1">IFERROR(__xludf.DUMMYFUNCTION("""COMPUTED_VALUE"""),45)</f>
        <v>45</v>
      </c>
      <c r="W10" s="27">
        <f ca="1">IFERROR(__xludf.DUMMYFUNCTION("""COMPUTED_VALUE"""),0)</f>
        <v>0</v>
      </c>
      <c r="X10" s="26">
        <f ca="1">IFERROR(__xludf.DUMMYFUNCTION("""COMPUTED_VALUE"""),0)</f>
        <v>0</v>
      </c>
      <c r="Y10" s="26">
        <f ca="1">IFERROR(__xludf.DUMMYFUNCTION("""COMPUTED_VALUE"""),0)</f>
        <v>0</v>
      </c>
      <c r="Z10" s="26">
        <f ca="1">IFERROR(__xludf.DUMMYFUNCTION("""COMPUTED_VALUE"""),0)</f>
        <v>0</v>
      </c>
      <c r="AA10" s="26">
        <f ca="1">IFERROR(__xludf.DUMMYFUNCTION("""COMPUTED_VALUE"""),0)</f>
        <v>0</v>
      </c>
      <c r="AB10" s="26">
        <f ca="1">IFERROR(__xludf.DUMMYFUNCTION("""COMPUTED_VALUE"""),2)</f>
        <v>2</v>
      </c>
      <c r="AC10" s="26">
        <f ca="1">IFERROR(__xludf.DUMMYFUNCTION("""COMPUTED_VALUE"""),59)</f>
        <v>59</v>
      </c>
      <c r="AD10" s="26">
        <f ca="1">IFERROR(__xludf.DUMMYFUNCTION("""COMPUTED_VALUE"""),2)</f>
        <v>2</v>
      </c>
      <c r="AE10" s="26">
        <f ca="1">IFERROR(__xludf.DUMMYFUNCTION("""COMPUTED_VALUE"""),59)</f>
        <v>59</v>
      </c>
      <c r="AF10" s="26">
        <f ca="1">IFERROR(__xludf.DUMMYFUNCTION("""COMPUTED_VALUE"""),4)</f>
        <v>4</v>
      </c>
      <c r="AG10" s="26">
        <f ca="1">IFERROR(__xludf.DUMMYFUNCTION("""COMPUTED_VALUE"""),57)</f>
        <v>57</v>
      </c>
      <c r="AH10" s="26">
        <f ca="1">IFERROR(__xludf.DUMMYFUNCTION("""COMPUTED_VALUE"""),0)</f>
        <v>0</v>
      </c>
      <c r="AI10" s="26">
        <f ca="1">IFERROR(__xludf.DUMMYFUNCTION("""COMPUTED_VALUE"""),4)</f>
        <v>4</v>
      </c>
      <c r="AJ10" s="25" t="str">
        <f ca="1">IFERROR(__xludf.DUMMYFUNCTION("""COMPUTED_VALUE"""),"")</f>
        <v/>
      </c>
      <c r="AK10" s="25" t="str">
        <f ca="1">IFERROR(__xludf.DUMMYFUNCTION("""COMPUTED_VALUE"""),"")</f>
        <v/>
      </c>
      <c r="AL10" s="25" t="str">
        <f ca="1">IFERROR(__xludf.DUMMYFUNCTION("""COMPUTED_VALUE"""),"")</f>
        <v/>
      </c>
      <c r="AM10" s="25" t="str">
        <f ca="1">IFERROR(__xludf.DUMMYFUNCTION("""COMPUTED_VALUE"""),"")</f>
        <v/>
      </c>
      <c r="AN10" s="28" t="str">
        <f ca="1">IFERROR(__xludf.DUMMYFUNCTION("""COMPUTED_VALUE"""),"")</f>
        <v/>
      </c>
    </row>
    <row r="11" spans="1:40" x14ac:dyDescent="0.2">
      <c r="A11" s="20">
        <f ca="1">IF($H11="","",IF(ISERROR(MATCH($O11,Lge_Scratch!$B:$B,0)),1,0))</f>
        <v>0</v>
      </c>
      <c r="B11" s="20">
        <f ca="1">IF($H11="","",IF(AND($AG11&gt;0,ISERROR(MATCH($O11,Lge_NonAero!$B:$B,0))),1,0))</f>
        <v>0</v>
      </c>
      <c r="C11" s="20">
        <f ca="1">IF($H11="","",IF(ISERROR(MATCH($O11,Lge_Handicap!$B:$B,0)),1,0))</f>
        <v>0</v>
      </c>
      <c r="D11" s="20">
        <f ca="1">IF($H11="","",IF(AND(LEFT($P11,3)="Wom",ISERROR(MATCH($O11,Lge_Womens!$B:$B,0))),1,0))</f>
        <v>0</v>
      </c>
      <c r="E11" s="20">
        <f ca="1">IF($H11="","",IF(AND(OR($P11="Vet",$P11="Woman Vet"),ISERROR(MATCH($O11,Lge_Veterans!$B:$B,0))),1,0))</f>
        <v>0</v>
      </c>
      <c r="F11" s="20">
        <f ca="1">IF($H11="","",IF(AND(OR($P11="Junior",$P11="Youth"),ISERROR(MATCH($O11,Lge_Junior!$B:$B,0))),1,0))</f>
        <v>0</v>
      </c>
      <c r="G11" s="20">
        <f ca="1">IF($H11="","",IF(AND($P11="Youth",ISERROR(MATCH($O11,Lge_Youth!$B:$B,0))),1,0))</f>
        <v>0</v>
      </c>
      <c r="H11" s="25" t="str">
        <f ca="1">IFERROR(__xludf.DUMMYFUNCTION("""COMPUTED_VALUE"""),"45768_Sunday League_10")</f>
        <v>45768_Sunday League_10</v>
      </c>
      <c r="I11" s="25" t="str">
        <f ca="1">IFERROR(__xludf.DUMMYFUNCTION("""COMPUTED_VALUE"""),"45768_Sunday League_10_8")</f>
        <v>45768_Sunday League_10_8</v>
      </c>
      <c r="J11" s="26">
        <f ca="1">IFERROR(__xludf.DUMMYFUNCTION("""COMPUTED_VALUE"""),20)</f>
        <v>20</v>
      </c>
      <c r="K11" s="25" t="str">
        <f ca="1">IFERROR(__xludf.DUMMYFUNCTION("""COMPUTED_VALUE"""),"Sunday League")</f>
        <v>Sunday League</v>
      </c>
      <c r="L11" s="22">
        <f ca="1">IFERROR(__xludf.DUMMYFUNCTION("""COMPUTED_VALUE"""),45768)</f>
        <v>45768</v>
      </c>
      <c r="M11" s="26">
        <f ca="1">IFERROR(__xludf.DUMMYFUNCTION("""COMPUTED_VALUE"""),10)</f>
        <v>10</v>
      </c>
      <c r="N11" s="26">
        <f ca="1">IFERROR(__xludf.DUMMYFUNCTION("""COMPUTED_VALUE"""),8)</f>
        <v>8</v>
      </c>
      <c r="O11" s="25" t="str">
        <f ca="1">IFERROR(__xludf.DUMMYFUNCTION("""COMPUTED_VALUE"""),"Ben Pennington")</f>
        <v>Ben Pennington</v>
      </c>
      <c r="P11" s="25" t="str">
        <f ca="1">IFERROR(__xludf.DUMMYFUNCTION("""COMPUTED_VALUE"""),"Vet")</f>
        <v>Vet</v>
      </c>
      <c r="Q11" s="27">
        <f ca="1">IFERROR(__xludf.DUMMYFUNCTION("""COMPUTED_VALUE"""),0.0184837962962962)</f>
        <v>1.84837962962962E-2</v>
      </c>
      <c r="R11" s="25" t="str">
        <f ca="1">IFERROR(__xludf.DUMMYFUNCTION("""COMPUTED_VALUE"""),"Non-aero PB")</f>
        <v>Non-aero PB</v>
      </c>
      <c r="S11" s="26">
        <f ca="1">IFERROR(__xludf.DUMMYFUNCTION("""COMPUTED_VALUE"""),53)</f>
        <v>53</v>
      </c>
      <c r="T11" s="27">
        <f ca="1">IFERROR(__xludf.DUMMYFUNCTION("""COMPUTED_VALUE"""),0.011597)</f>
        <v>1.1597E-2</v>
      </c>
      <c r="U11" s="26">
        <f ca="1">IFERROR(__xludf.DUMMYFUNCTION("""COMPUTED_VALUE"""),4)</f>
        <v>4</v>
      </c>
      <c r="V11" s="26">
        <f ca="1">IFERROR(__xludf.DUMMYFUNCTION("""COMPUTED_VALUE"""),57)</f>
        <v>57</v>
      </c>
      <c r="W11" s="27">
        <f ca="1">IFERROR(__xludf.DUMMYFUNCTION("""COMPUTED_VALUE"""),0.018125)</f>
        <v>1.8124999999999999E-2</v>
      </c>
      <c r="X11" s="26">
        <f ca="1">IFERROR(__xludf.DUMMYFUNCTION("""COMPUTED_VALUE"""),11)</f>
        <v>11</v>
      </c>
      <c r="Y11" s="26">
        <f ca="1">IFERROR(__xludf.DUMMYFUNCTION("""COMPUTED_VALUE"""),50)</f>
        <v>50</v>
      </c>
      <c r="Z11" s="26">
        <f ca="1">IFERROR(__xludf.DUMMYFUNCTION("""COMPUTED_VALUE"""),0)</f>
        <v>0</v>
      </c>
      <c r="AA11" s="26">
        <f ca="1">IFERROR(__xludf.DUMMYFUNCTION("""COMPUTED_VALUE"""),0)</f>
        <v>0</v>
      </c>
      <c r="AB11" s="26">
        <f ca="1">IFERROR(__xludf.DUMMYFUNCTION("""COMPUTED_VALUE"""),2)</f>
        <v>2</v>
      </c>
      <c r="AC11" s="26">
        <f ca="1">IFERROR(__xludf.DUMMYFUNCTION("""COMPUTED_VALUE"""),0)</f>
        <v>0</v>
      </c>
      <c r="AD11" s="26">
        <f ca="1">IFERROR(__xludf.DUMMYFUNCTION("""COMPUTED_VALUE"""),2)</f>
        <v>2</v>
      </c>
      <c r="AE11" s="26">
        <f ca="1">IFERROR(__xludf.DUMMYFUNCTION("""COMPUTED_VALUE"""),0)</f>
        <v>0</v>
      </c>
      <c r="AF11" s="26">
        <f ca="1">IFERROR(__xludf.DUMMYFUNCTION("""COMPUTED_VALUE"""),5)</f>
        <v>5</v>
      </c>
      <c r="AG11" s="26">
        <f ca="1">IFERROR(__xludf.DUMMYFUNCTION("""COMPUTED_VALUE"""),56)</f>
        <v>56</v>
      </c>
      <c r="AH11" s="26">
        <f ca="1">IFERROR(__xludf.DUMMYFUNCTION("""COMPUTED_VALUE"""),0)</f>
        <v>0</v>
      </c>
      <c r="AI11" s="26">
        <f ca="1">IFERROR(__xludf.DUMMYFUNCTION("""COMPUTED_VALUE"""),5)</f>
        <v>5</v>
      </c>
      <c r="AJ11" s="25" t="str">
        <f ca="1">IFERROR(__xludf.DUMMYFUNCTION("""COMPUTED_VALUE"""),"")</f>
        <v/>
      </c>
      <c r="AK11" s="25" t="str">
        <f ca="1">IFERROR(__xludf.DUMMYFUNCTION("""COMPUTED_VALUE"""),"PB")</f>
        <v>PB</v>
      </c>
      <c r="AL11" s="25" t="str">
        <f ca="1">IFERROR(__xludf.DUMMYFUNCTION("""COMPUTED_VALUE"""),"")</f>
        <v/>
      </c>
      <c r="AM11" s="25" t="str">
        <f ca="1">IFERROR(__xludf.DUMMYFUNCTION("""COMPUTED_VALUE"""),"")</f>
        <v/>
      </c>
      <c r="AN11" s="28" t="str">
        <f ca="1">IFERROR(__xludf.DUMMYFUNCTION("""COMPUTED_VALUE"""),"")</f>
        <v/>
      </c>
    </row>
    <row r="12" spans="1:40" x14ac:dyDescent="0.2">
      <c r="A12" s="20">
        <f ca="1">IF($H12="","",IF(ISERROR(MATCH($O12,Lge_Scratch!$B:$B,0)),1,0))</f>
        <v>0</v>
      </c>
      <c r="B12" s="20">
        <f ca="1">IF($H12="","",IF(AND($AG12&gt;0,ISERROR(MATCH($O12,Lge_NonAero!$B:$B,0))),1,0))</f>
        <v>0</v>
      </c>
      <c r="C12" s="20">
        <f ca="1">IF($H12="","",IF(ISERROR(MATCH($O12,Lge_Handicap!$B:$B,0)),1,0))</f>
        <v>0</v>
      </c>
      <c r="D12" s="20">
        <f ca="1">IF($H12="","",IF(AND(LEFT($P12,3)="Wom",ISERROR(MATCH($O12,Lge_Womens!$B:$B,0))),1,0))</f>
        <v>0</v>
      </c>
      <c r="E12" s="20">
        <f ca="1">IF($H12="","",IF(AND(OR($P12="Vet",$P12="Woman Vet"),ISERROR(MATCH($O12,Lge_Veterans!$B:$B,0))),1,0))</f>
        <v>0</v>
      </c>
      <c r="F12" s="20">
        <f ca="1">IF($H12="","",IF(AND(OR($P12="Junior",$P12="Youth"),ISERROR(MATCH($O12,Lge_Junior!$B:$B,0))),1,0))</f>
        <v>0</v>
      </c>
      <c r="G12" s="20">
        <f ca="1">IF($H12="","",IF(AND($P12="Youth",ISERROR(MATCH($O12,Lge_Youth!$B:$B,0))),1,0))</f>
        <v>0</v>
      </c>
      <c r="H12" s="25" t="str">
        <f ca="1">IFERROR(__xludf.DUMMYFUNCTION("""COMPUTED_VALUE"""),"45768_Sunday League_10")</f>
        <v>45768_Sunday League_10</v>
      </c>
      <c r="I12" s="25" t="str">
        <f ca="1">IFERROR(__xludf.DUMMYFUNCTION("""COMPUTED_VALUE"""),"45768_Sunday League_10_9")</f>
        <v>45768_Sunday League_10_9</v>
      </c>
      <c r="J12" s="26">
        <f ca="1">IFERROR(__xludf.DUMMYFUNCTION("""COMPUTED_VALUE"""),20)</f>
        <v>20</v>
      </c>
      <c r="K12" s="25" t="str">
        <f ca="1">IFERROR(__xludf.DUMMYFUNCTION("""COMPUTED_VALUE"""),"Sunday League")</f>
        <v>Sunday League</v>
      </c>
      <c r="L12" s="22">
        <f ca="1">IFERROR(__xludf.DUMMYFUNCTION("""COMPUTED_VALUE"""),45768)</f>
        <v>45768</v>
      </c>
      <c r="M12" s="26">
        <f ca="1">IFERROR(__xludf.DUMMYFUNCTION("""COMPUTED_VALUE"""),10)</f>
        <v>10</v>
      </c>
      <c r="N12" s="26">
        <f ca="1">IFERROR(__xludf.DUMMYFUNCTION("""COMPUTED_VALUE"""),9)</f>
        <v>9</v>
      </c>
      <c r="O12" s="25" t="str">
        <f ca="1">IFERROR(__xludf.DUMMYFUNCTION("""COMPUTED_VALUE"""),"Paul Gribbon")</f>
        <v>Paul Gribbon</v>
      </c>
      <c r="P12" s="25" t="str">
        <f ca="1">IFERROR(__xludf.DUMMYFUNCTION("""COMPUTED_VALUE"""),"Vet")</f>
        <v>Vet</v>
      </c>
      <c r="Q12" s="27">
        <f ca="1">IFERROR(__xludf.DUMMYFUNCTION("""COMPUTED_VALUE"""),0.0185879629629629)</f>
        <v>1.85879629629629E-2</v>
      </c>
      <c r="R12" s="25" t="str">
        <f ca="1">IFERROR(__xludf.DUMMYFUNCTION("""COMPUTED_VALUE"""),"")</f>
        <v/>
      </c>
      <c r="S12" s="26">
        <f ca="1">IFERROR(__xludf.DUMMYFUNCTION("""COMPUTED_VALUE"""),52)</f>
        <v>52</v>
      </c>
      <c r="T12" s="27">
        <f ca="1">IFERROR(__xludf.DUMMYFUNCTION("""COMPUTED_VALUE"""),0.013981)</f>
        <v>1.3981E-2</v>
      </c>
      <c r="U12" s="26">
        <f ca="1">IFERROR(__xludf.DUMMYFUNCTION("""COMPUTED_VALUE"""),19)</f>
        <v>19</v>
      </c>
      <c r="V12" s="26">
        <f ca="1">IFERROR(__xludf.DUMMYFUNCTION("""COMPUTED_VALUE"""),42)</f>
        <v>42</v>
      </c>
      <c r="W12" s="27">
        <f ca="1">IFERROR(__xludf.DUMMYFUNCTION("""COMPUTED_VALUE"""),0.0179050925925925)</f>
        <v>1.79050925925925E-2</v>
      </c>
      <c r="X12" s="26">
        <f ca="1">IFERROR(__xludf.DUMMYFUNCTION("""COMPUTED_VALUE"""),7)</f>
        <v>7</v>
      </c>
      <c r="Y12" s="26">
        <f ca="1">IFERROR(__xludf.DUMMYFUNCTION("""COMPUTED_VALUE"""),54)</f>
        <v>54</v>
      </c>
      <c r="Z12" s="26">
        <f ca="1">IFERROR(__xludf.DUMMYFUNCTION("""COMPUTED_VALUE"""),0)</f>
        <v>0</v>
      </c>
      <c r="AA12" s="26">
        <f ca="1">IFERROR(__xludf.DUMMYFUNCTION("""COMPUTED_VALUE"""),0)</f>
        <v>0</v>
      </c>
      <c r="AB12" s="26">
        <f ca="1">IFERROR(__xludf.DUMMYFUNCTION("""COMPUTED_VALUE"""),2)</f>
        <v>2</v>
      </c>
      <c r="AC12" s="26">
        <f ca="1">IFERROR(__xludf.DUMMYFUNCTION("""COMPUTED_VALUE"""),0)</f>
        <v>0</v>
      </c>
      <c r="AD12" s="26">
        <f ca="1">IFERROR(__xludf.DUMMYFUNCTION("""COMPUTED_VALUE"""),2)</f>
        <v>2</v>
      </c>
      <c r="AE12" s="26">
        <f ca="1">IFERROR(__xludf.DUMMYFUNCTION("""COMPUTED_VALUE"""),0)</f>
        <v>0</v>
      </c>
      <c r="AF12" s="26" t="str">
        <f ca="1">IFERROR(__xludf.DUMMYFUNCTION("""COMPUTED_VALUE"""),"")</f>
        <v/>
      </c>
      <c r="AG12" s="26">
        <f ca="1">IFERROR(__xludf.DUMMYFUNCTION("""COMPUTED_VALUE"""),0)</f>
        <v>0</v>
      </c>
      <c r="AH12" s="26">
        <f ca="1">IFERROR(__xludf.DUMMYFUNCTION("""COMPUTED_VALUE"""),0)</f>
        <v>0</v>
      </c>
      <c r="AI12" s="26" t="str">
        <f ca="1">IFERROR(__xludf.DUMMYFUNCTION("""COMPUTED_VALUE"""),"")</f>
        <v/>
      </c>
      <c r="AJ12" s="25" t="str">
        <f ca="1">IFERROR(__xludf.DUMMYFUNCTION("""COMPUTED_VALUE"""),"")</f>
        <v/>
      </c>
      <c r="AK12" s="25" t="str">
        <f ca="1">IFERROR(__xludf.DUMMYFUNCTION("""COMPUTED_VALUE"""),"")</f>
        <v/>
      </c>
      <c r="AL12" s="25" t="str">
        <f ca="1">IFERROR(__xludf.DUMMYFUNCTION("""COMPUTED_VALUE"""),"")</f>
        <v/>
      </c>
      <c r="AM12" s="25" t="str">
        <f ca="1">IFERROR(__xludf.DUMMYFUNCTION("""COMPUTED_VALUE"""),"")</f>
        <v/>
      </c>
      <c r="AN12" s="28" t="str">
        <f ca="1">IFERROR(__xludf.DUMMYFUNCTION("""COMPUTED_VALUE"""),"")</f>
        <v/>
      </c>
    </row>
    <row r="13" spans="1:40" x14ac:dyDescent="0.2">
      <c r="A13" s="20">
        <f ca="1">IF($H13="","",IF(ISERROR(MATCH($O13,Lge_Scratch!$B:$B,0)),1,0))</f>
        <v>0</v>
      </c>
      <c r="B13" s="20">
        <f ca="1">IF($H13="","",IF(AND($AG13&gt;0,ISERROR(MATCH($O13,Lge_NonAero!$B:$B,0))),1,0))</f>
        <v>0</v>
      </c>
      <c r="C13" s="20">
        <f ca="1">IF($H13="","",IF(ISERROR(MATCH($O13,Lge_Handicap!$B:$B,0)),1,0))</f>
        <v>0</v>
      </c>
      <c r="D13" s="20">
        <f ca="1">IF($H13="","",IF(AND(LEFT($P13,3)="Wom",ISERROR(MATCH($O13,Lge_Womens!$B:$B,0))),1,0))</f>
        <v>0</v>
      </c>
      <c r="E13" s="20">
        <f ca="1">IF($H13="","",IF(AND(OR($P13="Vet",$P13="Woman Vet"),ISERROR(MATCH($O13,Lge_Veterans!$B:$B,0))),1,0))</f>
        <v>0</v>
      </c>
      <c r="F13" s="20">
        <f ca="1">IF($H13="","",IF(AND(OR($P13="Junior",$P13="Youth"),ISERROR(MATCH($O13,Lge_Junior!$B:$B,0))),1,0))</f>
        <v>0</v>
      </c>
      <c r="G13" s="20">
        <f ca="1">IF($H13="","",IF(AND($P13="Youth",ISERROR(MATCH($O13,Lge_Youth!$B:$B,0))),1,0))</f>
        <v>0</v>
      </c>
      <c r="H13" s="25" t="str">
        <f ca="1">IFERROR(__xludf.DUMMYFUNCTION("""COMPUTED_VALUE"""),"45768_Sunday League_10")</f>
        <v>45768_Sunday League_10</v>
      </c>
      <c r="I13" s="25" t="str">
        <f ca="1">IFERROR(__xludf.DUMMYFUNCTION("""COMPUTED_VALUE"""),"45768_Sunday League_10_10")</f>
        <v>45768_Sunday League_10_10</v>
      </c>
      <c r="J13" s="26">
        <f ca="1">IFERROR(__xludf.DUMMYFUNCTION("""COMPUTED_VALUE"""),20)</f>
        <v>20</v>
      </c>
      <c r="K13" s="25" t="str">
        <f ca="1">IFERROR(__xludf.DUMMYFUNCTION("""COMPUTED_VALUE"""),"Sunday League")</f>
        <v>Sunday League</v>
      </c>
      <c r="L13" s="22">
        <f ca="1">IFERROR(__xludf.DUMMYFUNCTION("""COMPUTED_VALUE"""),45768)</f>
        <v>45768</v>
      </c>
      <c r="M13" s="26">
        <f ca="1">IFERROR(__xludf.DUMMYFUNCTION("""COMPUTED_VALUE"""),10)</f>
        <v>10</v>
      </c>
      <c r="N13" s="26">
        <f ca="1">IFERROR(__xludf.DUMMYFUNCTION("""COMPUTED_VALUE"""),10)</f>
        <v>10</v>
      </c>
      <c r="O13" s="25" t="str">
        <f ca="1">IFERROR(__xludf.DUMMYFUNCTION("""COMPUTED_VALUE"""),"Paul White")</f>
        <v>Paul White</v>
      </c>
      <c r="P13" s="25" t="str">
        <f ca="1">IFERROR(__xludf.DUMMYFUNCTION("""COMPUTED_VALUE"""),"Vet")</f>
        <v>Vet</v>
      </c>
      <c r="Q13" s="27">
        <f ca="1">IFERROR(__xludf.DUMMYFUNCTION("""COMPUTED_VALUE"""),0.0186458333333333)</f>
        <v>1.8645833333333299E-2</v>
      </c>
      <c r="R13" s="25" t="str">
        <f ca="1">IFERROR(__xludf.DUMMYFUNCTION("""COMPUTED_VALUE"""),"Non-aero")</f>
        <v>Non-aero</v>
      </c>
      <c r="S13" s="26">
        <f ca="1">IFERROR(__xludf.DUMMYFUNCTION("""COMPUTED_VALUE"""),51)</f>
        <v>51</v>
      </c>
      <c r="T13" s="27">
        <f ca="1">IFERROR(__xludf.DUMMYFUNCTION("""COMPUTED_VALUE"""),0.011875)</f>
        <v>1.1875E-2</v>
      </c>
      <c r="U13" s="26">
        <f ca="1">IFERROR(__xludf.DUMMYFUNCTION("""COMPUTED_VALUE"""),9)</f>
        <v>9</v>
      </c>
      <c r="V13" s="26">
        <f ca="1">IFERROR(__xludf.DUMMYFUNCTION("""COMPUTED_VALUE"""),52)</f>
        <v>52</v>
      </c>
      <c r="W13" s="27">
        <f ca="1">IFERROR(__xludf.DUMMYFUNCTION("""COMPUTED_VALUE"""),0.0161226851851851)</f>
        <v>1.6122685185185101E-2</v>
      </c>
      <c r="X13" s="26">
        <f ca="1">IFERROR(__xludf.DUMMYFUNCTION("""COMPUTED_VALUE"""),3)</f>
        <v>3</v>
      </c>
      <c r="Y13" s="26">
        <f ca="1">IFERROR(__xludf.DUMMYFUNCTION("""COMPUTED_VALUE"""),58)</f>
        <v>58</v>
      </c>
      <c r="Z13" s="26">
        <f ca="1">IFERROR(__xludf.DUMMYFUNCTION("""COMPUTED_VALUE"""),0)</f>
        <v>0</v>
      </c>
      <c r="AA13" s="26">
        <f ca="1">IFERROR(__xludf.DUMMYFUNCTION("""COMPUTED_VALUE"""),0)</f>
        <v>0</v>
      </c>
      <c r="AB13" s="26">
        <f ca="1">IFERROR(__xludf.DUMMYFUNCTION("""COMPUTED_VALUE"""),2)</f>
        <v>2</v>
      </c>
      <c r="AC13" s="26">
        <f ca="1">IFERROR(__xludf.DUMMYFUNCTION("""COMPUTED_VALUE"""),0)</f>
        <v>0</v>
      </c>
      <c r="AD13" s="26">
        <f ca="1">IFERROR(__xludf.DUMMYFUNCTION("""COMPUTED_VALUE"""),2)</f>
        <v>2</v>
      </c>
      <c r="AE13" s="26">
        <f ca="1">IFERROR(__xludf.DUMMYFUNCTION("""COMPUTED_VALUE"""),0)</f>
        <v>0</v>
      </c>
      <c r="AF13" s="26">
        <f ca="1">IFERROR(__xludf.DUMMYFUNCTION("""COMPUTED_VALUE"""),6)</f>
        <v>6</v>
      </c>
      <c r="AG13" s="26">
        <f ca="1">IFERROR(__xludf.DUMMYFUNCTION("""COMPUTED_VALUE"""),55)</f>
        <v>55</v>
      </c>
      <c r="AH13" s="26">
        <f ca="1">IFERROR(__xludf.DUMMYFUNCTION("""COMPUTED_VALUE"""),0)</f>
        <v>0</v>
      </c>
      <c r="AI13" s="26">
        <f ca="1">IFERROR(__xludf.DUMMYFUNCTION("""COMPUTED_VALUE"""),6)</f>
        <v>6</v>
      </c>
      <c r="AJ13" s="25" t="str">
        <f ca="1">IFERROR(__xludf.DUMMYFUNCTION("""COMPUTED_VALUE"""),"")</f>
        <v/>
      </c>
      <c r="AK13" s="25" t="str">
        <f ca="1">IFERROR(__xludf.DUMMYFUNCTION("""COMPUTED_VALUE"""),"")</f>
        <v/>
      </c>
      <c r="AL13" s="25" t="str">
        <f ca="1">IFERROR(__xludf.DUMMYFUNCTION("""COMPUTED_VALUE"""),"")</f>
        <v/>
      </c>
      <c r="AM13" s="25" t="str">
        <f ca="1">IFERROR(__xludf.DUMMYFUNCTION("""COMPUTED_VALUE"""),"")</f>
        <v/>
      </c>
      <c r="AN13" s="28" t="str">
        <f ca="1">IFERROR(__xludf.DUMMYFUNCTION("""COMPUTED_VALUE"""),"")</f>
        <v/>
      </c>
    </row>
    <row r="14" spans="1:40" x14ac:dyDescent="0.2">
      <c r="A14" s="20">
        <f ca="1">IF($H14="","",IF(ISERROR(MATCH($O14,Lge_Scratch!$B:$B,0)),1,0))</f>
        <v>0</v>
      </c>
      <c r="B14" s="20">
        <f ca="1">IF($H14="","",IF(AND($AG14&gt;0,ISERROR(MATCH($O14,Lge_NonAero!$B:$B,0))),1,0))</f>
        <v>0</v>
      </c>
      <c r="C14" s="20">
        <f ca="1">IF($H14="","",IF(ISERROR(MATCH($O14,Lge_Handicap!$B:$B,0)),1,0))</f>
        <v>0</v>
      </c>
      <c r="D14" s="20">
        <f ca="1">IF($H14="","",IF(AND(LEFT($P14,3)="Wom",ISERROR(MATCH($O14,Lge_Womens!$B:$B,0))),1,0))</f>
        <v>0</v>
      </c>
      <c r="E14" s="20">
        <f ca="1">IF($H14="","",IF(AND(OR($P14="Vet",$P14="Woman Vet"),ISERROR(MATCH($O14,Lge_Veterans!$B:$B,0))),1,0))</f>
        <v>0</v>
      </c>
      <c r="F14" s="20">
        <f ca="1">IF($H14="","",IF(AND(OR($P14="Junior",$P14="Youth"),ISERROR(MATCH($O14,Lge_Junior!$B:$B,0))),1,0))</f>
        <v>0</v>
      </c>
      <c r="G14" s="20">
        <f ca="1">IF($H14="","",IF(AND($P14="Youth",ISERROR(MATCH($O14,Lge_Youth!$B:$B,0))),1,0))</f>
        <v>0</v>
      </c>
      <c r="H14" s="25" t="str">
        <f ca="1">IFERROR(__xludf.DUMMYFUNCTION("""COMPUTED_VALUE"""),"45768_Sunday League_10")</f>
        <v>45768_Sunday League_10</v>
      </c>
      <c r="I14" s="25" t="str">
        <f ca="1">IFERROR(__xludf.DUMMYFUNCTION("""COMPUTED_VALUE"""),"45768_Sunday League_10_11")</f>
        <v>45768_Sunday League_10_11</v>
      </c>
      <c r="J14" s="26">
        <f ca="1">IFERROR(__xludf.DUMMYFUNCTION("""COMPUTED_VALUE"""),20)</f>
        <v>20</v>
      </c>
      <c r="K14" s="25" t="str">
        <f ca="1">IFERROR(__xludf.DUMMYFUNCTION("""COMPUTED_VALUE"""),"Sunday League")</f>
        <v>Sunday League</v>
      </c>
      <c r="L14" s="22">
        <f ca="1">IFERROR(__xludf.DUMMYFUNCTION("""COMPUTED_VALUE"""),45768)</f>
        <v>45768</v>
      </c>
      <c r="M14" s="26">
        <f ca="1">IFERROR(__xludf.DUMMYFUNCTION("""COMPUTED_VALUE"""),10)</f>
        <v>10</v>
      </c>
      <c r="N14" s="26">
        <f ca="1">IFERROR(__xludf.DUMMYFUNCTION("""COMPUTED_VALUE"""),11)</f>
        <v>11</v>
      </c>
      <c r="O14" s="25" t="str">
        <f ca="1">IFERROR(__xludf.DUMMYFUNCTION("""COMPUTED_VALUE"""),"Andy Merchant")</f>
        <v>Andy Merchant</v>
      </c>
      <c r="P14" s="25" t="str">
        <f ca="1">IFERROR(__xludf.DUMMYFUNCTION("""COMPUTED_VALUE"""),"Vet")</f>
        <v>Vet</v>
      </c>
      <c r="Q14" s="27">
        <f ca="1">IFERROR(__xludf.DUMMYFUNCTION("""COMPUTED_VALUE"""),0.0187152777777777)</f>
        <v>1.8715277777777699E-2</v>
      </c>
      <c r="R14" s="25" t="str">
        <f ca="1">IFERROR(__xludf.DUMMYFUNCTION("""COMPUTED_VALUE"""),"")</f>
        <v/>
      </c>
      <c r="S14" s="26">
        <f ca="1">IFERROR(__xludf.DUMMYFUNCTION("""COMPUTED_VALUE"""),50)</f>
        <v>50</v>
      </c>
      <c r="T14" s="27">
        <f ca="1">IFERROR(__xludf.DUMMYFUNCTION("""COMPUTED_VALUE"""),0.014039)</f>
        <v>1.4038999999999999E-2</v>
      </c>
      <c r="U14" s="26">
        <f ca="1">IFERROR(__xludf.DUMMYFUNCTION("""COMPUTED_VALUE"""),20)</f>
        <v>20</v>
      </c>
      <c r="V14" s="26">
        <f ca="1">IFERROR(__xludf.DUMMYFUNCTION("""COMPUTED_VALUE"""),41)</f>
        <v>41</v>
      </c>
      <c r="W14" s="27">
        <f ca="1">IFERROR(__xludf.DUMMYFUNCTION("""COMPUTED_VALUE"""),0.017511574074074)</f>
        <v>1.7511574074073999E-2</v>
      </c>
      <c r="X14" s="26">
        <f ca="1">IFERROR(__xludf.DUMMYFUNCTION("""COMPUTED_VALUE"""),5)</f>
        <v>5</v>
      </c>
      <c r="Y14" s="26">
        <f ca="1">IFERROR(__xludf.DUMMYFUNCTION("""COMPUTED_VALUE"""),56)</f>
        <v>56</v>
      </c>
      <c r="Z14" s="26">
        <f ca="1">IFERROR(__xludf.DUMMYFUNCTION("""COMPUTED_VALUE"""),0)</f>
        <v>0</v>
      </c>
      <c r="AA14" s="26">
        <f ca="1">IFERROR(__xludf.DUMMYFUNCTION("""COMPUTED_VALUE"""),0)</f>
        <v>0</v>
      </c>
      <c r="AB14" s="26">
        <f ca="1">IFERROR(__xludf.DUMMYFUNCTION("""COMPUTED_VALUE"""),2)</f>
        <v>2</v>
      </c>
      <c r="AC14" s="26">
        <f ca="1">IFERROR(__xludf.DUMMYFUNCTION("""COMPUTED_VALUE"""),0)</f>
        <v>0</v>
      </c>
      <c r="AD14" s="26">
        <f ca="1">IFERROR(__xludf.DUMMYFUNCTION("""COMPUTED_VALUE"""),2)</f>
        <v>2</v>
      </c>
      <c r="AE14" s="26">
        <f ca="1">IFERROR(__xludf.DUMMYFUNCTION("""COMPUTED_VALUE"""),0)</f>
        <v>0</v>
      </c>
      <c r="AF14" s="26" t="str">
        <f ca="1">IFERROR(__xludf.DUMMYFUNCTION("""COMPUTED_VALUE"""),"")</f>
        <v/>
      </c>
      <c r="AG14" s="26">
        <f ca="1">IFERROR(__xludf.DUMMYFUNCTION("""COMPUTED_VALUE"""),0)</f>
        <v>0</v>
      </c>
      <c r="AH14" s="26">
        <f ca="1">IFERROR(__xludf.DUMMYFUNCTION("""COMPUTED_VALUE"""),0)</f>
        <v>0</v>
      </c>
      <c r="AI14" s="26" t="str">
        <f ca="1">IFERROR(__xludf.DUMMYFUNCTION("""COMPUTED_VALUE"""),"")</f>
        <v/>
      </c>
      <c r="AJ14" s="25" t="str">
        <f ca="1">IFERROR(__xludf.DUMMYFUNCTION("""COMPUTED_VALUE"""),"")</f>
        <v/>
      </c>
      <c r="AK14" s="25" t="str">
        <f ca="1">IFERROR(__xludf.DUMMYFUNCTION("""COMPUTED_VALUE"""),"")</f>
        <v/>
      </c>
      <c r="AL14" s="25" t="str">
        <f ca="1">IFERROR(__xludf.DUMMYFUNCTION("""COMPUTED_VALUE"""),"")</f>
        <v/>
      </c>
      <c r="AM14" s="25" t="str">
        <f ca="1">IFERROR(__xludf.DUMMYFUNCTION("""COMPUTED_VALUE"""),"")</f>
        <v/>
      </c>
      <c r="AN14" s="28" t="str">
        <f ca="1">IFERROR(__xludf.DUMMYFUNCTION("""COMPUTED_VALUE"""),"")</f>
        <v/>
      </c>
    </row>
    <row r="15" spans="1:40" x14ac:dyDescent="0.2">
      <c r="A15" s="20">
        <f ca="1">IF($H15="","",IF(ISERROR(MATCH($O15,Lge_Scratch!$B:$B,0)),1,0))</f>
        <v>0</v>
      </c>
      <c r="B15" s="20">
        <f ca="1">IF($H15="","",IF(AND($AG15&gt;0,ISERROR(MATCH($O15,Lge_NonAero!$B:$B,0))),1,0))</f>
        <v>0</v>
      </c>
      <c r="C15" s="20">
        <f ca="1">IF($H15="","",IF(ISERROR(MATCH($O15,Lge_Handicap!$B:$B,0)),1,0))</f>
        <v>0</v>
      </c>
      <c r="D15" s="20">
        <f ca="1">IF($H15="","",IF(AND(LEFT($P15,3)="Wom",ISERROR(MATCH($O15,Lge_Womens!$B:$B,0))),1,0))</f>
        <v>0</v>
      </c>
      <c r="E15" s="20">
        <f ca="1">IF($H15="","",IF(AND(OR($P15="Vet",$P15="Woman Vet"),ISERROR(MATCH($O15,Lge_Veterans!$B:$B,0))),1,0))</f>
        <v>0</v>
      </c>
      <c r="F15" s="20">
        <f ca="1">IF($H15="","",IF(AND(OR($P15="Junior",$P15="Youth"),ISERROR(MATCH($O15,Lge_Junior!$B:$B,0))),1,0))</f>
        <v>0</v>
      </c>
      <c r="G15" s="20">
        <f ca="1">IF($H15="","",IF(AND($P15="Youth",ISERROR(MATCH($O15,Lge_Youth!$B:$B,0))),1,0))</f>
        <v>0</v>
      </c>
      <c r="H15" s="25" t="str">
        <f ca="1">IFERROR(__xludf.DUMMYFUNCTION("""COMPUTED_VALUE"""),"45768_Sunday League_10")</f>
        <v>45768_Sunday League_10</v>
      </c>
      <c r="I15" s="25" t="str">
        <f ca="1">IFERROR(__xludf.DUMMYFUNCTION("""COMPUTED_VALUE"""),"45768_Sunday League_10_12")</f>
        <v>45768_Sunday League_10_12</v>
      </c>
      <c r="J15" s="26">
        <f ca="1">IFERROR(__xludf.DUMMYFUNCTION("""COMPUTED_VALUE"""),20)</f>
        <v>20</v>
      </c>
      <c r="K15" s="25" t="str">
        <f ca="1">IFERROR(__xludf.DUMMYFUNCTION("""COMPUTED_VALUE"""),"Sunday League")</f>
        <v>Sunday League</v>
      </c>
      <c r="L15" s="22">
        <f ca="1">IFERROR(__xludf.DUMMYFUNCTION("""COMPUTED_VALUE"""),45768)</f>
        <v>45768</v>
      </c>
      <c r="M15" s="26">
        <f ca="1">IFERROR(__xludf.DUMMYFUNCTION("""COMPUTED_VALUE"""),10)</f>
        <v>10</v>
      </c>
      <c r="N15" s="26">
        <f ca="1">IFERROR(__xludf.DUMMYFUNCTION("""COMPUTED_VALUE"""),12)</f>
        <v>12</v>
      </c>
      <c r="O15" s="25" t="str">
        <f ca="1">IFERROR(__xludf.DUMMYFUNCTION("""COMPUTED_VALUE"""),"Dave Lobley")</f>
        <v>Dave Lobley</v>
      </c>
      <c r="P15" s="25" t="str">
        <f ca="1">IFERROR(__xludf.DUMMYFUNCTION("""COMPUTED_VALUE"""),"Vet")</f>
        <v>Vet</v>
      </c>
      <c r="Q15" s="27">
        <f ca="1">IFERROR(__xludf.DUMMYFUNCTION("""COMPUTED_VALUE"""),0.0195138888888888)</f>
        <v>1.9513888888888799E-2</v>
      </c>
      <c r="R15" s="25" t="str">
        <f ca="1">IFERROR(__xludf.DUMMYFUNCTION("""COMPUTED_VALUE"""),"Non-aero PB")</f>
        <v>Non-aero PB</v>
      </c>
      <c r="S15" s="26">
        <f ca="1">IFERROR(__xludf.DUMMYFUNCTION("""COMPUTED_VALUE"""),49)</f>
        <v>49</v>
      </c>
      <c r="T15" s="27">
        <f ca="1">IFERROR(__xludf.DUMMYFUNCTION("""COMPUTED_VALUE"""),0.011667)</f>
        <v>1.1667E-2</v>
      </c>
      <c r="U15" s="26">
        <f ca="1">IFERROR(__xludf.DUMMYFUNCTION("""COMPUTED_VALUE"""),5)</f>
        <v>5</v>
      </c>
      <c r="V15" s="26">
        <f ca="1">IFERROR(__xludf.DUMMYFUNCTION("""COMPUTED_VALUE"""),56)</f>
        <v>56</v>
      </c>
      <c r="W15" s="27">
        <f ca="1">IFERROR(__xludf.DUMMYFUNCTION("""COMPUTED_VALUE"""),0.0178935185185185)</f>
        <v>1.78935185185185E-2</v>
      </c>
      <c r="X15" s="26">
        <f ca="1">IFERROR(__xludf.DUMMYFUNCTION("""COMPUTED_VALUE"""),6)</f>
        <v>6</v>
      </c>
      <c r="Y15" s="26">
        <f ca="1">IFERROR(__xludf.DUMMYFUNCTION("""COMPUTED_VALUE"""),55)</f>
        <v>55</v>
      </c>
      <c r="Z15" s="26">
        <f ca="1">IFERROR(__xludf.DUMMYFUNCTION("""COMPUTED_VALUE"""),0)</f>
        <v>0</v>
      </c>
      <c r="AA15" s="26">
        <f ca="1">IFERROR(__xludf.DUMMYFUNCTION("""COMPUTED_VALUE"""),0)</f>
        <v>0</v>
      </c>
      <c r="AB15" s="26">
        <f ca="1">IFERROR(__xludf.DUMMYFUNCTION("""COMPUTED_VALUE"""),2)</f>
        <v>2</v>
      </c>
      <c r="AC15" s="26">
        <f ca="1">IFERROR(__xludf.DUMMYFUNCTION("""COMPUTED_VALUE"""),0)</f>
        <v>0</v>
      </c>
      <c r="AD15" s="26">
        <f ca="1">IFERROR(__xludf.DUMMYFUNCTION("""COMPUTED_VALUE"""),2)</f>
        <v>2</v>
      </c>
      <c r="AE15" s="26">
        <f ca="1">IFERROR(__xludf.DUMMYFUNCTION("""COMPUTED_VALUE"""),0)</f>
        <v>0</v>
      </c>
      <c r="AF15" s="26">
        <f ca="1">IFERROR(__xludf.DUMMYFUNCTION("""COMPUTED_VALUE"""),7)</f>
        <v>7</v>
      </c>
      <c r="AG15" s="26">
        <f ca="1">IFERROR(__xludf.DUMMYFUNCTION("""COMPUTED_VALUE"""),54)</f>
        <v>54</v>
      </c>
      <c r="AH15" s="26">
        <f ca="1">IFERROR(__xludf.DUMMYFUNCTION("""COMPUTED_VALUE"""),0)</f>
        <v>0</v>
      </c>
      <c r="AI15" s="26">
        <f ca="1">IFERROR(__xludf.DUMMYFUNCTION("""COMPUTED_VALUE"""),7)</f>
        <v>7</v>
      </c>
      <c r="AJ15" s="25" t="str">
        <f ca="1">IFERROR(__xludf.DUMMYFUNCTION("""COMPUTED_VALUE"""),"")</f>
        <v/>
      </c>
      <c r="AK15" s="25" t="str">
        <f ca="1">IFERROR(__xludf.DUMMYFUNCTION("""COMPUTED_VALUE"""),"PB")</f>
        <v>PB</v>
      </c>
      <c r="AL15" s="25" t="str">
        <f ca="1">IFERROR(__xludf.DUMMYFUNCTION("""COMPUTED_VALUE"""),"")</f>
        <v/>
      </c>
      <c r="AM15" s="25" t="str">
        <f ca="1">IFERROR(__xludf.DUMMYFUNCTION("""COMPUTED_VALUE"""),"")</f>
        <v/>
      </c>
      <c r="AN15" s="28" t="str">
        <f ca="1">IFERROR(__xludf.DUMMYFUNCTION("""COMPUTED_VALUE"""),"")</f>
        <v/>
      </c>
    </row>
    <row r="16" spans="1:40" x14ac:dyDescent="0.2">
      <c r="A16" s="20">
        <f ca="1">IF($H16="","",IF(ISERROR(MATCH($O16,Lge_Scratch!$B:$B,0)),1,0))</f>
        <v>0</v>
      </c>
      <c r="B16" s="20">
        <f ca="1">IF($H16="","",IF(AND($AG16&gt;0,ISERROR(MATCH($O16,Lge_NonAero!$B:$B,0))),1,0))</f>
        <v>0</v>
      </c>
      <c r="C16" s="20">
        <f ca="1">IF($H16="","",IF(ISERROR(MATCH($O16,Lge_Handicap!$B:$B,0)),1,0))</f>
        <v>0</v>
      </c>
      <c r="D16" s="20">
        <f ca="1">IF($H16="","",IF(AND(LEFT($P16,3)="Wom",ISERROR(MATCH($O16,Lge_Womens!$B:$B,0))),1,0))</f>
        <v>0</v>
      </c>
      <c r="E16" s="20">
        <f ca="1">IF($H16="","",IF(AND(OR($P16="Vet",$P16="Woman Vet"),ISERROR(MATCH($O16,Lge_Veterans!$B:$B,0))),1,0))</f>
        <v>0</v>
      </c>
      <c r="F16" s="20">
        <f ca="1">IF($H16="","",IF(AND(OR($P16="Junior",$P16="Youth"),ISERROR(MATCH($O16,Lge_Junior!$B:$B,0))),1,0))</f>
        <v>0</v>
      </c>
      <c r="G16" s="20">
        <f ca="1">IF($H16="","",IF(AND($P16="Youth",ISERROR(MATCH($O16,Lge_Youth!$B:$B,0))),1,0))</f>
        <v>0</v>
      </c>
      <c r="H16" s="25" t="str">
        <f ca="1">IFERROR(__xludf.DUMMYFUNCTION("""COMPUTED_VALUE"""),"45768_Sunday League_10")</f>
        <v>45768_Sunday League_10</v>
      </c>
      <c r="I16" s="25" t="str">
        <f ca="1">IFERROR(__xludf.DUMMYFUNCTION("""COMPUTED_VALUE"""),"45768_Sunday League_10_13")</f>
        <v>45768_Sunday League_10_13</v>
      </c>
      <c r="J16" s="26">
        <f ca="1">IFERROR(__xludf.DUMMYFUNCTION("""COMPUTED_VALUE"""),20)</f>
        <v>20</v>
      </c>
      <c r="K16" s="25" t="str">
        <f ca="1">IFERROR(__xludf.DUMMYFUNCTION("""COMPUTED_VALUE"""),"Sunday League")</f>
        <v>Sunday League</v>
      </c>
      <c r="L16" s="22">
        <f ca="1">IFERROR(__xludf.DUMMYFUNCTION("""COMPUTED_VALUE"""),45768)</f>
        <v>45768</v>
      </c>
      <c r="M16" s="26">
        <f ca="1">IFERROR(__xludf.DUMMYFUNCTION("""COMPUTED_VALUE"""),10)</f>
        <v>10</v>
      </c>
      <c r="N16" s="26">
        <f ca="1">IFERROR(__xludf.DUMMYFUNCTION("""COMPUTED_VALUE"""),13)</f>
        <v>13</v>
      </c>
      <c r="O16" s="25" t="str">
        <f ca="1">IFERROR(__xludf.DUMMYFUNCTION("""COMPUTED_VALUE"""),"Danny Jago")</f>
        <v>Danny Jago</v>
      </c>
      <c r="P16" s="25" t="str">
        <f ca="1">IFERROR(__xludf.DUMMYFUNCTION("""COMPUTED_VALUE"""),"Vet")</f>
        <v>Vet</v>
      </c>
      <c r="Q16" s="27">
        <f ca="1">IFERROR(__xludf.DUMMYFUNCTION("""COMPUTED_VALUE"""),0.019537037037037)</f>
        <v>1.9537037037036999E-2</v>
      </c>
      <c r="R16" s="25" t="str">
        <f ca="1">IFERROR(__xludf.DUMMYFUNCTION("""COMPUTED_VALUE"""),"Non-aero First TT")</f>
        <v>Non-aero First TT</v>
      </c>
      <c r="S16" s="26">
        <f ca="1">IFERROR(__xludf.DUMMYFUNCTION("""COMPUTED_VALUE"""),48)</f>
        <v>48</v>
      </c>
      <c r="T16" s="27">
        <f ca="1">IFERROR(__xludf.DUMMYFUNCTION("""COMPUTED_VALUE"""),0.011667)</f>
        <v>1.1667E-2</v>
      </c>
      <c r="U16" s="26">
        <f ca="1">IFERROR(__xludf.DUMMYFUNCTION("""COMPUTED_VALUE"""),5)</f>
        <v>5</v>
      </c>
      <c r="V16" s="26">
        <f ca="1">IFERROR(__xludf.DUMMYFUNCTION("""COMPUTED_VALUE"""),56)</f>
        <v>56</v>
      </c>
      <c r="W16" s="27">
        <f ca="1">IFERROR(__xludf.DUMMYFUNCTION("""COMPUTED_VALUE"""),0.019375)</f>
        <v>1.9375E-2</v>
      </c>
      <c r="X16" s="26">
        <f ca="1">IFERROR(__xludf.DUMMYFUNCTION("""COMPUTED_VALUE"""),14)</f>
        <v>14</v>
      </c>
      <c r="Y16" s="26">
        <f ca="1">IFERROR(__xludf.DUMMYFUNCTION("""COMPUTED_VALUE"""),47)</f>
        <v>47</v>
      </c>
      <c r="Z16" s="26">
        <f ca="1">IFERROR(__xludf.DUMMYFUNCTION("""COMPUTED_VALUE"""),0)</f>
        <v>0</v>
      </c>
      <c r="AA16" s="26">
        <f ca="1">IFERROR(__xludf.DUMMYFUNCTION("""COMPUTED_VALUE"""),0)</f>
        <v>0</v>
      </c>
      <c r="AB16" s="26">
        <f ca="1">IFERROR(__xludf.DUMMYFUNCTION("""COMPUTED_VALUE"""),2)</f>
        <v>2</v>
      </c>
      <c r="AC16" s="26">
        <f ca="1">IFERROR(__xludf.DUMMYFUNCTION("""COMPUTED_VALUE"""),0)</f>
        <v>0</v>
      </c>
      <c r="AD16" s="26">
        <f ca="1">IFERROR(__xludf.DUMMYFUNCTION("""COMPUTED_VALUE"""),2)</f>
        <v>2</v>
      </c>
      <c r="AE16" s="26">
        <f ca="1">IFERROR(__xludf.DUMMYFUNCTION("""COMPUTED_VALUE"""),0)</f>
        <v>0</v>
      </c>
      <c r="AF16" s="26">
        <f ca="1">IFERROR(__xludf.DUMMYFUNCTION("""COMPUTED_VALUE"""),8)</f>
        <v>8</v>
      </c>
      <c r="AG16" s="26">
        <f ca="1">IFERROR(__xludf.DUMMYFUNCTION("""COMPUTED_VALUE"""),53)</f>
        <v>53</v>
      </c>
      <c r="AH16" s="26">
        <f ca="1">IFERROR(__xludf.DUMMYFUNCTION("""COMPUTED_VALUE"""),0)</f>
        <v>0</v>
      </c>
      <c r="AI16" s="26">
        <f ca="1">IFERROR(__xludf.DUMMYFUNCTION("""COMPUTED_VALUE"""),8)</f>
        <v>8</v>
      </c>
      <c r="AJ16" s="25" t="str">
        <f ca="1">IFERROR(__xludf.DUMMYFUNCTION("""COMPUTED_VALUE"""),"First TT")</f>
        <v>First TT</v>
      </c>
      <c r="AK16" s="25" t="str">
        <f ca="1">IFERROR(__xludf.DUMMYFUNCTION("""COMPUTED_VALUE"""),"")</f>
        <v/>
      </c>
      <c r="AL16" s="25" t="str">
        <f ca="1">IFERROR(__xludf.DUMMYFUNCTION("""COMPUTED_VALUE"""),"")</f>
        <v/>
      </c>
      <c r="AM16" s="25" t="str">
        <f ca="1">IFERROR(__xludf.DUMMYFUNCTION("""COMPUTED_VALUE"""),"")</f>
        <v/>
      </c>
      <c r="AN16" s="28" t="str">
        <f ca="1">IFERROR(__xludf.DUMMYFUNCTION("""COMPUTED_VALUE"""),"")</f>
        <v/>
      </c>
    </row>
    <row r="17" spans="1:40" x14ac:dyDescent="0.2">
      <c r="A17" s="20">
        <f ca="1">IF($H17="","",IF(ISERROR(MATCH($O17,Lge_Scratch!$B:$B,0)),1,0))</f>
        <v>0</v>
      </c>
      <c r="B17" s="20">
        <f ca="1">IF($H17="","",IF(AND($AG17&gt;0,ISERROR(MATCH($O17,Lge_NonAero!$B:$B,0))),1,0))</f>
        <v>0</v>
      </c>
      <c r="C17" s="20">
        <f ca="1">IF($H17="","",IF(ISERROR(MATCH($O17,Lge_Handicap!$B:$B,0)),1,0))</f>
        <v>0</v>
      </c>
      <c r="D17" s="20">
        <f ca="1">IF($H17="","",IF(AND(LEFT($P17,3)="Wom",ISERROR(MATCH($O17,Lge_Womens!$B:$B,0))),1,0))</f>
        <v>0</v>
      </c>
      <c r="E17" s="20">
        <f ca="1">IF($H17="","",IF(AND(OR($P17="Vet",$P17="Woman Vet"),ISERROR(MATCH($O17,Lge_Veterans!$B:$B,0))),1,0))</f>
        <v>0</v>
      </c>
      <c r="F17" s="20">
        <f ca="1">IF($H17="","",IF(AND(OR($P17="Junior",$P17="Youth"),ISERROR(MATCH($O17,Lge_Junior!$B:$B,0))),1,0))</f>
        <v>0</v>
      </c>
      <c r="G17" s="20">
        <f ca="1">IF($H17="","",IF(AND($P17="Youth",ISERROR(MATCH($O17,Lge_Youth!$B:$B,0))),1,0))</f>
        <v>0</v>
      </c>
      <c r="H17" s="25" t="str">
        <f ca="1">IFERROR(__xludf.DUMMYFUNCTION("""COMPUTED_VALUE"""),"45768_Sunday League_10")</f>
        <v>45768_Sunday League_10</v>
      </c>
      <c r="I17" s="25" t="str">
        <f ca="1">IFERROR(__xludf.DUMMYFUNCTION("""COMPUTED_VALUE"""),"45768_Sunday League_10_14")</f>
        <v>45768_Sunday League_10_14</v>
      </c>
      <c r="J17" s="26">
        <f ca="1">IFERROR(__xludf.DUMMYFUNCTION("""COMPUTED_VALUE"""),20)</f>
        <v>20</v>
      </c>
      <c r="K17" s="25" t="str">
        <f ca="1">IFERROR(__xludf.DUMMYFUNCTION("""COMPUTED_VALUE"""),"Sunday League")</f>
        <v>Sunday League</v>
      </c>
      <c r="L17" s="22">
        <f ca="1">IFERROR(__xludf.DUMMYFUNCTION("""COMPUTED_VALUE"""),45768)</f>
        <v>45768</v>
      </c>
      <c r="M17" s="26">
        <f ca="1">IFERROR(__xludf.DUMMYFUNCTION("""COMPUTED_VALUE"""),10)</f>
        <v>10</v>
      </c>
      <c r="N17" s="26">
        <f ca="1">IFERROR(__xludf.DUMMYFUNCTION("""COMPUTED_VALUE"""),14)</f>
        <v>14</v>
      </c>
      <c r="O17" s="25" t="str">
        <f ca="1">IFERROR(__xludf.DUMMYFUNCTION("""COMPUTED_VALUE"""),"Simon Smith")</f>
        <v>Simon Smith</v>
      </c>
      <c r="P17" s="25" t="str">
        <f ca="1">IFERROR(__xludf.DUMMYFUNCTION("""COMPUTED_VALUE"""),"Vet")</f>
        <v>Vet</v>
      </c>
      <c r="Q17" s="27">
        <f ca="1">IFERROR(__xludf.DUMMYFUNCTION("""COMPUTED_VALUE"""),0.0203356481481481)</f>
        <v>2.0335648148148099E-2</v>
      </c>
      <c r="R17" s="25" t="str">
        <f ca="1">IFERROR(__xludf.DUMMYFUNCTION("""COMPUTED_VALUE"""),"Non-aero CB")</f>
        <v>Non-aero CB</v>
      </c>
      <c r="S17" s="26">
        <f ca="1">IFERROR(__xludf.DUMMYFUNCTION("""COMPUTED_VALUE"""),47)</f>
        <v>47</v>
      </c>
      <c r="T17" s="27">
        <f ca="1">IFERROR(__xludf.DUMMYFUNCTION("""COMPUTED_VALUE"""),0.012535)</f>
        <v>1.2534999999999999E-2</v>
      </c>
      <c r="U17" s="26">
        <f ca="1">IFERROR(__xludf.DUMMYFUNCTION("""COMPUTED_VALUE"""),13)</f>
        <v>13</v>
      </c>
      <c r="V17" s="26">
        <f ca="1">IFERROR(__xludf.DUMMYFUNCTION("""COMPUTED_VALUE"""),48)</f>
        <v>48</v>
      </c>
      <c r="W17" s="27">
        <f ca="1">IFERROR(__xludf.DUMMYFUNCTION("""COMPUTED_VALUE"""),0.0187152777777777)</f>
        <v>1.8715277777777699E-2</v>
      </c>
      <c r="X17" s="26">
        <f ca="1">IFERROR(__xludf.DUMMYFUNCTION("""COMPUTED_VALUE"""),13)</f>
        <v>13</v>
      </c>
      <c r="Y17" s="26">
        <f ca="1">IFERROR(__xludf.DUMMYFUNCTION("""COMPUTED_VALUE"""),48)</f>
        <v>48</v>
      </c>
      <c r="Z17" s="26">
        <f ca="1">IFERROR(__xludf.DUMMYFUNCTION("""COMPUTED_VALUE"""),0)</f>
        <v>0</v>
      </c>
      <c r="AA17" s="26">
        <f ca="1">IFERROR(__xludf.DUMMYFUNCTION("""COMPUTED_VALUE"""),0)</f>
        <v>0</v>
      </c>
      <c r="AB17" s="26">
        <f ca="1">IFERROR(__xludf.DUMMYFUNCTION("""COMPUTED_VALUE"""),2)</f>
        <v>2</v>
      </c>
      <c r="AC17" s="26">
        <f ca="1">IFERROR(__xludf.DUMMYFUNCTION("""COMPUTED_VALUE"""),0)</f>
        <v>0</v>
      </c>
      <c r="AD17" s="26">
        <f ca="1">IFERROR(__xludf.DUMMYFUNCTION("""COMPUTED_VALUE"""),2)</f>
        <v>2</v>
      </c>
      <c r="AE17" s="26">
        <f ca="1">IFERROR(__xludf.DUMMYFUNCTION("""COMPUTED_VALUE"""),0)</f>
        <v>0</v>
      </c>
      <c r="AF17" s="26">
        <f ca="1">IFERROR(__xludf.DUMMYFUNCTION("""COMPUTED_VALUE"""),9)</f>
        <v>9</v>
      </c>
      <c r="AG17" s="26">
        <f ca="1">IFERROR(__xludf.DUMMYFUNCTION("""COMPUTED_VALUE"""),52)</f>
        <v>52</v>
      </c>
      <c r="AH17" s="26">
        <f ca="1">IFERROR(__xludf.DUMMYFUNCTION("""COMPUTED_VALUE"""),0)</f>
        <v>0</v>
      </c>
      <c r="AI17" s="26">
        <f ca="1">IFERROR(__xludf.DUMMYFUNCTION("""COMPUTED_VALUE"""),9)</f>
        <v>9</v>
      </c>
      <c r="AJ17" s="25" t="str">
        <f ca="1">IFERROR(__xludf.DUMMYFUNCTION("""COMPUTED_VALUE"""),"")</f>
        <v/>
      </c>
      <c r="AK17" s="25" t="str">
        <f ca="1">IFERROR(__xludf.DUMMYFUNCTION("""COMPUTED_VALUE"""),"CB")</f>
        <v>CB</v>
      </c>
      <c r="AL17" s="25" t="str">
        <f ca="1">IFERROR(__xludf.DUMMYFUNCTION("""COMPUTED_VALUE"""),"")</f>
        <v/>
      </c>
      <c r="AM17" s="25" t="str">
        <f ca="1">IFERROR(__xludf.DUMMYFUNCTION("""COMPUTED_VALUE"""),"")</f>
        <v/>
      </c>
      <c r="AN17" s="28" t="str">
        <f ca="1">IFERROR(__xludf.DUMMYFUNCTION("""COMPUTED_VALUE"""),"")</f>
        <v/>
      </c>
    </row>
    <row r="18" spans="1:40" x14ac:dyDescent="0.2">
      <c r="A18" s="20">
        <f ca="1">IF($H18="","",IF(ISERROR(MATCH($O18,Lge_Scratch!$B:$B,0)),1,0))</f>
        <v>0</v>
      </c>
      <c r="B18" s="20">
        <f ca="1">IF($H18="","",IF(AND($AG18&gt;0,ISERROR(MATCH($O18,Lge_NonAero!$B:$B,0))),1,0))</f>
        <v>0</v>
      </c>
      <c r="C18" s="20">
        <f ca="1">IF($H18="","",IF(ISERROR(MATCH($O18,Lge_Handicap!$B:$B,0)),1,0))</f>
        <v>0</v>
      </c>
      <c r="D18" s="20">
        <f ca="1">IF($H18="","",IF(AND(LEFT($P18,3)="Wom",ISERROR(MATCH($O18,Lge_Womens!$B:$B,0))),1,0))</f>
        <v>0</v>
      </c>
      <c r="E18" s="20">
        <f ca="1">IF($H18="","",IF(AND(OR($P18="Vet",$P18="Woman Vet"),ISERROR(MATCH($O18,Lge_Veterans!$B:$B,0))),1,0))</f>
        <v>0</v>
      </c>
      <c r="F18" s="20">
        <f ca="1">IF($H18="","",IF(AND(OR($P18="Junior",$P18="Youth"),ISERROR(MATCH($O18,Lge_Junior!$B:$B,0))),1,0))</f>
        <v>0</v>
      </c>
      <c r="G18" s="20">
        <f ca="1">IF($H18="","",IF(AND($P18="Youth",ISERROR(MATCH($O18,Lge_Youth!$B:$B,0))),1,0))</f>
        <v>0</v>
      </c>
      <c r="H18" s="25" t="str">
        <f ca="1">IFERROR(__xludf.DUMMYFUNCTION("""COMPUTED_VALUE"""),"45768_Sunday League_10")</f>
        <v>45768_Sunday League_10</v>
      </c>
      <c r="I18" s="25" t="str">
        <f ca="1">IFERROR(__xludf.DUMMYFUNCTION("""COMPUTED_VALUE"""),"45768_Sunday League_10_15")</f>
        <v>45768_Sunday League_10_15</v>
      </c>
      <c r="J18" s="26">
        <f ca="1">IFERROR(__xludf.DUMMYFUNCTION("""COMPUTED_VALUE"""),20)</f>
        <v>20</v>
      </c>
      <c r="K18" s="25" t="str">
        <f ca="1">IFERROR(__xludf.DUMMYFUNCTION("""COMPUTED_VALUE"""),"Sunday League")</f>
        <v>Sunday League</v>
      </c>
      <c r="L18" s="22">
        <f ca="1">IFERROR(__xludf.DUMMYFUNCTION("""COMPUTED_VALUE"""),45768)</f>
        <v>45768</v>
      </c>
      <c r="M18" s="26">
        <f ca="1">IFERROR(__xludf.DUMMYFUNCTION("""COMPUTED_VALUE"""),10)</f>
        <v>10</v>
      </c>
      <c r="N18" s="26">
        <f ca="1">IFERROR(__xludf.DUMMYFUNCTION("""COMPUTED_VALUE"""),15)</f>
        <v>15</v>
      </c>
      <c r="O18" s="25" t="str">
        <f ca="1">IFERROR(__xludf.DUMMYFUNCTION("""COMPUTED_VALUE"""),"Stuart Jago")</f>
        <v>Stuart Jago</v>
      </c>
      <c r="P18" s="25" t="str">
        <f ca="1">IFERROR(__xludf.DUMMYFUNCTION("""COMPUTED_VALUE"""),"Vet")</f>
        <v>Vet</v>
      </c>
      <c r="Q18" s="27">
        <f ca="1">IFERROR(__xludf.DUMMYFUNCTION("""COMPUTED_VALUE"""),0.0206597222222222)</f>
        <v>2.0659722222222201E-2</v>
      </c>
      <c r="R18" s="25" t="str">
        <f ca="1">IFERROR(__xludf.DUMMYFUNCTION("""COMPUTED_VALUE"""),"Non-aero")</f>
        <v>Non-aero</v>
      </c>
      <c r="S18" s="26">
        <f ca="1">IFERROR(__xludf.DUMMYFUNCTION("""COMPUTED_VALUE"""),46)</f>
        <v>46</v>
      </c>
      <c r="T18" s="27">
        <f ca="1">IFERROR(__xludf.DUMMYFUNCTION("""COMPUTED_VALUE"""),0.012512)</f>
        <v>1.2512000000000001E-2</v>
      </c>
      <c r="U18" s="26">
        <f ca="1">IFERROR(__xludf.DUMMYFUNCTION("""COMPUTED_VALUE"""),12)</f>
        <v>12</v>
      </c>
      <c r="V18" s="26">
        <f ca="1">IFERROR(__xludf.DUMMYFUNCTION("""COMPUTED_VALUE"""),49)</f>
        <v>49</v>
      </c>
      <c r="W18" s="27">
        <f ca="1">IFERROR(__xludf.DUMMYFUNCTION("""COMPUTED_VALUE"""),0.0179861111111111)</f>
        <v>1.7986111111111099E-2</v>
      </c>
      <c r="X18" s="26">
        <f ca="1">IFERROR(__xludf.DUMMYFUNCTION("""COMPUTED_VALUE"""),9)</f>
        <v>9</v>
      </c>
      <c r="Y18" s="26">
        <f ca="1">IFERROR(__xludf.DUMMYFUNCTION("""COMPUTED_VALUE"""),52)</f>
        <v>52</v>
      </c>
      <c r="Z18" s="26">
        <f ca="1">IFERROR(__xludf.DUMMYFUNCTION("""COMPUTED_VALUE"""),0)</f>
        <v>0</v>
      </c>
      <c r="AA18" s="26">
        <f ca="1">IFERROR(__xludf.DUMMYFUNCTION("""COMPUTED_VALUE"""),0)</f>
        <v>0</v>
      </c>
      <c r="AB18" s="26">
        <f ca="1">IFERROR(__xludf.DUMMYFUNCTION("""COMPUTED_VALUE"""),2)</f>
        <v>2</v>
      </c>
      <c r="AC18" s="26">
        <f ca="1">IFERROR(__xludf.DUMMYFUNCTION("""COMPUTED_VALUE"""),0)</f>
        <v>0</v>
      </c>
      <c r="AD18" s="26">
        <f ca="1">IFERROR(__xludf.DUMMYFUNCTION("""COMPUTED_VALUE"""),2)</f>
        <v>2</v>
      </c>
      <c r="AE18" s="26">
        <f ca="1">IFERROR(__xludf.DUMMYFUNCTION("""COMPUTED_VALUE"""),0)</f>
        <v>0</v>
      </c>
      <c r="AF18" s="26">
        <f ca="1">IFERROR(__xludf.DUMMYFUNCTION("""COMPUTED_VALUE"""),10)</f>
        <v>10</v>
      </c>
      <c r="AG18" s="26">
        <f ca="1">IFERROR(__xludf.DUMMYFUNCTION("""COMPUTED_VALUE"""),51)</f>
        <v>51</v>
      </c>
      <c r="AH18" s="26">
        <f ca="1">IFERROR(__xludf.DUMMYFUNCTION("""COMPUTED_VALUE"""),0)</f>
        <v>0</v>
      </c>
      <c r="AI18" s="26">
        <f ca="1">IFERROR(__xludf.DUMMYFUNCTION("""COMPUTED_VALUE"""),10)</f>
        <v>10</v>
      </c>
      <c r="AJ18" s="25" t="str">
        <f ca="1">IFERROR(__xludf.DUMMYFUNCTION("""COMPUTED_VALUE"""),"")</f>
        <v/>
      </c>
      <c r="AK18" s="25" t="str">
        <f ca="1">IFERROR(__xludf.DUMMYFUNCTION("""COMPUTED_VALUE"""),"")</f>
        <v/>
      </c>
      <c r="AL18" s="25" t="str">
        <f ca="1">IFERROR(__xludf.DUMMYFUNCTION("""COMPUTED_VALUE"""),"")</f>
        <v/>
      </c>
      <c r="AM18" s="25" t="str">
        <f ca="1">IFERROR(__xludf.DUMMYFUNCTION("""COMPUTED_VALUE"""),"")</f>
        <v/>
      </c>
      <c r="AN18" s="28" t="str">
        <f ca="1">IFERROR(__xludf.DUMMYFUNCTION("""COMPUTED_VALUE"""),"")</f>
        <v/>
      </c>
    </row>
    <row r="19" spans="1:40" x14ac:dyDescent="0.2">
      <c r="A19" s="20">
        <f ca="1">IF($H19="","",IF(ISERROR(MATCH($O19,Lge_Scratch!$B:$B,0)),1,0))</f>
        <v>0</v>
      </c>
      <c r="B19" s="20">
        <f ca="1">IF($H19="","",IF(AND($AG19&gt;0,ISERROR(MATCH($O19,Lge_NonAero!$B:$B,0))),1,0))</f>
        <v>0</v>
      </c>
      <c r="C19" s="20">
        <f ca="1">IF($H19="","",IF(ISERROR(MATCH($O19,Lge_Handicap!$B:$B,0)),1,0))</f>
        <v>0</v>
      </c>
      <c r="D19" s="20">
        <f ca="1">IF($H19="","",IF(AND(LEFT($P19,3)="Wom",ISERROR(MATCH($O19,Lge_Womens!$B:$B,0))),1,0))</f>
        <v>0</v>
      </c>
      <c r="E19" s="20">
        <f ca="1">IF($H19="","",IF(AND(OR($P19="Vet",$P19="Woman Vet"),ISERROR(MATCH($O19,Lge_Veterans!$B:$B,0))),1,0))</f>
        <v>0</v>
      </c>
      <c r="F19" s="20">
        <f ca="1">IF($H19="","",IF(AND(OR($P19="Junior",$P19="Youth"),ISERROR(MATCH($O19,Lge_Junior!$B:$B,0))),1,0))</f>
        <v>0</v>
      </c>
      <c r="G19" s="20">
        <f ca="1">IF($H19="","",IF(AND($P19="Youth",ISERROR(MATCH($O19,Lge_Youth!$B:$B,0))),1,0))</f>
        <v>0</v>
      </c>
      <c r="H19" s="16" t="str">
        <f ca="1">IFERROR(__xludf.DUMMYFUNCTION("""COMPUTED_VALUE"""),"45768_Sunday League_10")</f>
        <v>45768_Sunday League_10</v>
      </c>
      <c r="I19" s="16" t="str">
        <f ca="1">IFERROR(__xludf.DUMMYFUNCTION("""COMPUTED_VALUE"""),"45768_Sunday League_10_16")</f>
        <v>45768_Sunday League_10_16</v>
      </c>
      <c r="J19" s="16">
        <f ca="1">IFERROR(__xludf.DUMMYFUNCTION("""COMPUTED_VALUE"""),20)</f>
        <v>20</v>
      </c>
      <c r="K19" s="16" t="str">
        <f ca="1">IFERROR(__xludf.DUMMYFUNCTION("""COMPUTED_VALUE"""),"Sunday League")</f>
        <v>Sunday League</v>
      </c>
      <c r="L19" s="22">
        <f ca="1">IFERROR(__xludf.DUMMYFUNCTION("""COMPUTED_VALUE"""),45768)</f>
        <v>45768</v>
      </c>
      <c r="M19" s="16">
        <f ca="1">IFERROR(__xludf.DUMMYFUNCTION("""COMPUTED_VALUE"""),10)</f>
        <v>10</v>
      </c>
      <c r="N19" s="16">
        <f ca="1">IFERROR(__xludf.DUMMYFUNCTION("""COMPUTED_VALUE"""),16)</f>
        <v>16</v>
      </c>
      <c r="O19" s="16" t="str">
        <f ca="1">IFERROR(__xludf.DUMMYFUNCTION("""COMPUTED_VALUE"""),"Chris Smith")</f>
        <v>Chris Smith</v>
      </c>
      <c r="P19" s="16" t="str">
        <f ca="1">IFERROR(__xludf.DUMMYFUNCTION("""COMPUTED_VALUE"""),"Vet")</f>
        <v>Vet</v>
      </c>
      <c r="Q19" s="23">
        <f ca="1">IFERROR(__xludf.DUMMYFUNCTION("""COMPUTED_VALUE"""),0.0216666666666666)</f>
        <v>2.1666666666666601E-2</v>
      </c>
      <c r="R19" s="16" t="str">
        <f ca="1">IFERROR(__xludf.DUMMYFUNCTION("""COMPUTED_VALUE"""),"Non-aero CB")</f>
        <v>Non-aero CB</v>
      </c>
      <c r="S19" s="16">
        <f ca="1">IFERROR(__xludf.DUMMYFUNCTION("""COMPUTED_VALUE"""),45)</f>
        <v>45</v>
      </c>
      <c r="T19" s="23">
        <f ca="1">IFERROR(__xludf.DUMMYFUNCTION("""COMPUTED_VALUE"""),0.011806)</f>
        <v>1.1806000000000001E-2</v>
      </c>
      <c r="U19" s="16">
        <f ca="1">IFERROR(__xludf.DUMMYFUNCTION("""COMPUTED_VALUE"""),7)</f>
        <v>7</v>
      </c>
      <c r="V19" s="16">
        <f ca="1">IFERROR(__xludf.DUMMYFUNCTION("""COMPUTED_VALUE"""),54)</f>
        <v>54</v>
      </c>
      <c r="W19" s="23">
        <f ca="1">IFERROR(__xludf.DUMMYFUNCTION("""COMPUTED_VALUE"""),0.0202662037037037)</f>
        <v>2.0266203703703699E-2</v>
      </c>
      <c r="X19" s="16">
        <f ca="1">IFERROR(__xludf.DUMMYFUNCTION("""COMPUTED_VALUE"""),15)</f>
        <v>15</v>
      </c>
      <c r="Y19" s="16">
        <f ca="1">IFERROR(__xludf.DUMMYFUNCTION("""COMPUTED_VALUE"""),46)</f>
        <v>46</v>
      </c>
      <c r="Z19" s="16">
        <f ca="1">IFERROR(__xludf.DUMMYFUNCTION("""COMPUTED_VALUE"""),0)</f>
        <v>0</v>
      </c>
      <c r="AA19" s="16">
        <f ca="1">IFERROR(__xludf.DUMMYFUNCTION("""COMPUTED_VALUE"""),0)</f>
        <v>0</v>
      </c>
      <c r="AB19" s="16">
        <f ca="1">IFERROR(__xludf.DUMMYFUNCTION("""COMPUTED_VALUE"""),2)</f>
        <v>2</v>
      </c>
      <c r="AC19" s="16">
        <f ca="1">IFERROR(__xludf.DUMMYFUNCTION("""COMPUTED_VALUE"""),0)</f>
        <v>0</v>
      </c>
      <c r="AD19" s="16">
        <f ca="1">IFERROR(__xludf.DUMMYFUNCTION("""COMPUTED_VALUE"""),2)</f>
        <v>2</v>
      </c>
      <c r="AE19" s="16">
        <f ca="1">IFERROR(__xludf.DUMMYFUNCTION("""COMPUTED_VALUE"""),0)</f>
        <v>0</v>
      </c>
      <c r="AF19" s="16">
        <f ca="1">IFERROR(__xludf.DUMMYFUNCTION("""COMPUTED_VALUE"""),11)</f>
        <v>11</v>
      </c>
      <c r="AG19" s="16">
        <f ca="1">IFERROR(__xludf.DUMMYFUNCTION("""COMPUTED_VALUE"""),50)</f>
        <v>50</v>
      </c>
      <c r="AH19" s="16">
        <f ca="1">IFERROR(__xludf.DUMMYFUNCTION("""COMPUTED_VALUE"""),0)</f>
        <v>0</v>
      </c>
      <c r="AI19" s="16">
        <f ca="1">IFERROR(__xludf.DUMMYFUNCTION("""COMPUTED_VALUE"""),11)</f>
        <v>11</v>
      </c>
      <c r="AJ19" s="16" t="str">
        <f ca="1">IFERROR(__xludf.DUMMYFUNCTION("""COMPUTED_VALUE"""),"")</f>
        <v/>
      </c>
      <c r="AK19" s="16" t="str">
        <f ca="1">IFERROR(__xludf.DUMMYFUNCTION("""COMPUTED_VALUE"""),"CB")</f>
        <v>CB</v>
      </c>
      <c r="AL19" s="16" t="str">
        <f ca="1">IFERROR(__xludf.DUMMYFUNCTION("""COMPUTED_VALUE"""),"")</f>
        <v/>
      </c>
      <c r="AM19" s="16" t="str">
        <f ca="1">IFERROR(__xludf.DUMMYFUNCTION("""COMPUTED_VALUE"""),"")</f>
        <v/>
      </c>
      <c r="AN19" s="24" t="str">
        <f ca="1">IFERROR(__xludf.DUMMYFUNCTION("""COMPUTED_VALUE"""),"")</f>
        <v/>
      </c>
    </row>
    <row r="20" spans="1:40" x14ac:dyDescent="0.2">
      <c r="A20" s="20">
        <f ca="1">IF($H20="","",IF(ISERROR(MATCH($O20,Lge_Scratch!$B:$B,0)),1,0))</f>
        <v>0</v>
      </c>
      <c r="B20" s="20">
        <f ca="1">IF($H20="","",IF(AND($AG20&gt;0,ISERROR(MATCH($O20,Lge_NonAero!$B:$B,0))),1,0))</f>
        <v>0</v>
      </c>
      <c r="C20" s="20">
        <f ca="1">IF($H20="","",IF(ISERROR(MATCH($O20,Lge_Handicap!$B:$B,0)),1,0))</f>
        <v>0</v>
      </c>
      <c r="D20" s="20">
        <f ca="1">IF($H20="","",IF(AND(LEFT($P20,3)="Wom",ISERROR(MATCH($O20,Lge_Womens!$B:$B,0))),1,0))</f>
        <v>0</v>
      </c>
      <c r="E20" s="20">
        <f ca="1">IF($H20="","",IF(AND(OR($P20="Vet",$P20="Woman Vet"),ISERROR(MATCH($O20,Lge_Veterans!$B:$B,0))),1,0))</f>
        <v>0</v>
      </c>
      <c r="F20" s="20">
        <f ca="1">IF($H20="","",IF(AND(OR($P20="Junior",$P20="Youth"),ISERROR(MATCH($O20,Lge_Junior!$B:$B,0))),1,0))</f>
        <v>0</v>
      </c>
      <c r="G20" s="20">
        <f ca="1">IF($H20="","",IF(AND($P20="Youth",ISERROR(MATCH($O20,Lge_Youth!$B:$B,0))),1,0))</f>
        <v>0</v>
      </c>
      <c r="H20" s="16" t="str">
        <f ca="1">IFERROR(__xludf.DUMMYFUNCTION("""COMPUTED_VALUE"""),"45768_Sunday League_10")</f>
        <v>45768_Sunday League_10</v>
      </c>
      <c r="I20" s="16" t="str">
        <f ca="1">IFERROR(__xludf.DUMMYFUNCTION("""COMPUTED_VALUE"""),"45768_Sunday League_10_17")</f>
        <v>45768_Sunday League_10_17</v>
      </c>
      <c r="J20" s="16">
        <f ca="1">IFERROR(__xludf.DUMMYFUNCTION("""COMPUTED_VALUE"""),20)</f>
        <v>20</v>
      </c>
      <c r="K20" s="16" t="str">
        <f ca="1">IFERROR(__xludf.DUMMYFUNCTION("""COMPUTED_VALUE"""),"Sunday League")</f>
        <v>Sunday League</v>
      </c>
      <c r="L20" s="22">
        <f ca="1">IFERROR(__xludf.DUMMYFUNCTION("""COMPUTED_VALUE"""),45768)</f>
        <v>45768</v>
      </c>
      <c r="M20" s="16">
        <f ca="1">IFERROR(__xludf.DUMMYFUNCTION("""COMPUTED_VALUE"""),10)</f>
        <v>10</v>
      </c>
      <c r="N20" s="16">
        <f ca="1">IFERROR(__xludf.DUMMYFUNCTION("""COMPUTED_VALUE"""),17)</f>
        <v>17</v>
      </c>
      <c r="O20" s="16" t="str">
        <f ca="1">IFERROR(__xludf.DUMMYFUNCTION("""COMPUTED_VALUE"""),"Simon Gretton")</f>
        <v>Simon Gretton</v>
      </c>
      <c r="P20" s="16" t="str">
        <f ca="1">IFERROR(__xludf.DUMMYFUNCTION("""COMPUTED_VALUE"""),"Vet")</f>
        <v>Vet</v>
      </c>
      <c r="Q20" s="23">
        <f ca="1">IFERROR(__xludf.DUMMYFUNCTION("""COMPUTED_VALUE"""),0.0216898148148148)</f>
        <v>2.1689814814814801E-2</v>
      </c>
      <c r="R20" s="16" t="str">
        <f ca="1">IFERROR(__xludf.DUMMYFUNCTION("""COMPUTED_VALUE"""),"Non-aero PB")</f>
        <v>Non-aero PB</v>
      </c>
      <c r="S20" s="16">
        <f ca="1">IFERROR(__xludf.DUMMYFUNCTION("""COMPUTED_VALUE"""),44)</f>
        <v>44</v>
      </c>
      <c r="T20" s="23">
        <f ca="1">IFERROR(__xludf.DUMMYFUNCTION("""COMPUTED_VALUE"""),0.011806)</f>
        <v>1.1806000000000001E-2</v>
      </c>
      <c r="U20" s="16">
        <f ca="1">IFERROR(__xludf.DUMMYFUNCTION("""COMPUTED_VALUE"""),7)</f>
        <v>7</v>
      </c>
      <c r="V20" s="16">
        <f ca="1">IFERROR(__xludf.DUMMYFUNCTION("""COMPUTED_VALUE"""),54)</f>
        <v>54</v>
      </c>
      <c r="W20" s="23">
        <f ca="1">IFERROR(__xludf.DUMMYFUNCTION("""COMPUTED_VALUE"""),0.0181597222222222)</f>
        <v>1.8159722222222199E-2</v>
      </c>
      <c r="X20" s="16">
        <f ca="1">IFERROR(__xludf.DUMMYFUNCTION("""COMPUTED_VALUE"""),12)</f>
        <v>12</v>
      </c>
      <c r="Y20" s="16">
        <f ca="1">IFERROR(__xludf.DUMMYFUNCTION("""COMPUTED_VALUE"""),49)</f>
        <v>49</v>
      </c>
      <c r="Z20" s="16">
        <f ca="1">IFERROR(__xludf.DUMMYFUNCTION("""COMPUTED_VALUE"""),0)</f>
        <v>0</v>
      </c>
      <c r="AA20" s="16">
        <f ca="1">IFERROR(__xludf.DUMMYFUNCTION("""COMPUTED_VALUE"""),0)</f>
        <v>0</v>
      </c>
      <c r="AB20" s="16">
        <f ca="1">IFERROR(__xludf.DUMMYFUNCTION("""COMPUTED_VALUE"""),2)</f>
        <v>2</v>
      </c>
      <c r="AC20" s="16">
        <f ca="1">IFERROR(__xludf.DUMMYFUNCTION("""COMPUTED_VALUE"""),0)</f>
        <v>0</v>
      </c>
      <c r="AD20" s="16">
        <f ca="1">IFERROR(__xludf.DUMMYFUNCTION("""COMPUTED_VALUE"""),2)</f>
        <v>2</v>
      </c>
      <c r="AE20" s="16">
        <f ca="1">IFERROR(__xludf.DUMMYFUNCTION("""COMPUTED_VALUE"""),0)</f>
        <v>0</v>
      </c>
      <c r="AF20" s="16">
        <f ca="1">IFERROR(__xludf.DUMMYFUNCTION("""COMPUTED_VALUE"""),12)</f>
        <v>12</v>
      </c>
      <c r="AG20" s="16">
        <f ca="1">IFERROR(__xludf.DUMMYFUNCTION("""COMPUTED_VALUE"""),49)</f>
        <v>49</v>
      </c>
      <c r="AH20" s="16">
        <f ca="1">IFERROR(__xludf.DUMMYFUNCTION("""COMPUTED_VALUE"""),0)</f>
        <v>0</v>
      </c>
      <c r="AI20" s="16">
        <f ca="1">IFERROR(__xludf.DUMMYFUNCTION("""COMPUTED_VALUE"""),12)</f>
        <v>12</v>
      </c>
      <c r="AJ20" s="16" t="str">
        <f ca="1">IFERROR(__xludf.DUMMYFUNCTION("""COMPUTED_VALUE"""),"")</f>
        <v/>
      </c>
      <c r="AK20" s="16" t="str">
        <f ca="1">IFERROR(__xludf.DUMMYFUNCTION("""COMPUTED_VALUE"""),"PB")</f>
        <v>PB</v>
      </c>
      <c r="AL20" s="16" t="str">
        <f ca="1">IFERROR(__xludf.DUMMYFUNCTION("""COMPUTED_VALUE"""),"")</f>
        <v/>
      </c>
      <c r="AM20" s="16" t="str">
        <f ca="1">IFERROR(__xludf.DUMMYFUNCTION("""COMPUTED_VALUE"""),"")</f>
        <v/>
      </c>
      <c r="AN20" s="24" t="str">
        <f ca="1">IFERROR(__xludf.DUMMYFUNCTION("""COMPUTED_VALUE"""),"")</f>
        <v/>
      </c>
    </row>
    <row r="21" spans="1:40" x14ac:dyDescent="0.2">
      <c r="A21" s="20">
        <f ca="1">IF($H21="","",IF(ISERROR(MATCH($O21,Lge_Scratch!$B:$B,0)),1,0))</f>
        <v>0</v>
      </c>
      <c r="B21" s="20">
        <f ca="1">IF($H21="","",IF(AND($AG21&gt;0,ISERROR(MATCH($O21,Lge_NonAero!$B:$B,0))),1,0))</f>
        <v>0</v>
      </c>
      <c r="C21" s="20">
        <f ca="1">IF($H21="","",IF(ISERROR(MATCH($O21,Lge_Handicap!$B:$B,0)),1,0))</f>
        <v>0</v>
      </c>
      <c r="D21" s="20">
        <f ca="1">IF($H21="","",IF(AND(LEFT($P21,3)="Wom",ISERROR(MATCH($O21,Lge_Womens!$B:$B,0))),1,0))</f>
        <v>0</v>
      </c>
      <c r="E21" s="20">
        <f ca="1">IF($H21="","",IF(AND(OR($P21="Vet",$P21="Woman Vet"),ISERROR(MATCH($O21,Lge_Veterans!$B:$B,0))),1,0))</f>
        <v>0</v>
      </c>
      <c r="F21" s="20">
        <f ca="1">IF($H21="","",IF(AND(OR($P21="Junior",$P21="Youth"),ISERROR(MATCH($O21,Lge_Junior!$B:$B,0))),1,0))</f>
        <v>0</v>
      </c>
      <c r="G21" s="20">
        <f ca="1">IF($H21="","",IF(AND($P21="Youth",ISERROR(MATCH($O21,Lge_Youth!$B:$B,0))),1,0))</f>
        <v>0</v>
      </c>
      <c r="H21" s="16" t="str">
        <f ca="1">IFERROR(__xludf.DUMMYFUNCTION("""COMPUTED_VALUE"""),"45768_Sunday League_10")</f>
        <v>45768_Sunday League_10</v>
      </c>
      <c r="I21" s="16" t="str">
        <f ca="1">IFERROR(__xludf.DUMMYFUNCTION("""COMPUTED_VALUE"""),"45768_Sunday League_10_18")</f>
        <v>45768_Sunday League_10_18</v>
      </c>
      <c r="J21" s="16">
        <f ca="1">IFERROR(__xludf.DUMMYFUNCTION("""COMPUTED_VALUE"""),20)</f>
        <v>20</v>
      </c>
      <c r="K21" s="16" t="str">
        <f ca="1">IFERROR(__xludf.DUMMYFUNCTION("""COMPUTED_VALUE"""),"Sunday League")</f>
        <v>Sunday League</v>
      </c>
      <c r="L21" s="22">
        <f ca="1">IFERROR(__xludf.DUMMYFUNCTION("""COMPUTED_VALUE"""),45768)</f>
        <v>45768</v>
      </c>
      <c r="M21" s="16">
        <f ca="1">IFERROR(__xludf.DUMMYFUNCTION("""COMPUTED_VALUE"""),10)</f>
        <v>10</v>
      </c>
      <c r="N21" s="16">
        <f ca="1">IFERROR(__xludf.DUMMYFUNCTION("""COMPUTED_VALUE"""),18)</f>
        <v>18</v>
      </c>
      <c r="O21" s="16" t="str">
        <f ca="1">IFERROR(__xludf.DUMMYFUNCTION("""COMPUTED_VALUE"""),"Carol Cartwright")</f>
        <v>Carol Cartwright</v>
      </c>
      <c r="P21" s="16" t="str">
        <f ca="1">IFERROR(__xludf.DUMMYFUNCTION("""COMPUTED_VALUE"""),"Woman Vet")</f>
        <v>Woman Vet</v>
      </c>
      <c r="Q21" s="23">
        <f ca="1">IFERROR(__xludf.DUMMYFUNCTION("""COMPUTED_VALUE"""),0.0228703703703703)</f>
        <v>2.2870370370370301E-2</v>
      </c>
      <c r="R21" s="16" t="str">
        <f ca="1">IFERROR(__xludf.DUMMYFUNCTION("""COMPUTED_VALUE"""),"Non-aero")</f>
        <v>Non-aero</v>
      </c>
      <c r="S21" s="16">
        <f ca="1">IFERROR(__xludf.DUMMYFUNCTION("""COMPUTED_VALUE"""),43)</f>
        <v>43</v>
      </c>
      <c r="T21" s="23">
        <f ca="1">IFERROR(__xludf.DUMMYFUNCTION("""COMPUTED_VALUE"""),0.01265)</f>
        <v>1.265E-2</v>
      </c>
      <c r="U21" s="16">
        <f ca="1">IFERROR(__xludf.DUMMYFUNCTION("""COMPUTED_VALUE"""),15)</f>
        <v>15</v>
      </c>
      <c r="V21" s="16">
        <f ca="1">IFERROR(__xludf.DUMMYFUNCTION("""COMPUTED_VALUE"""),46)</f>
        <v>46</v>
      </c>
      <c r="W21" s="23">
        <f ca="1">IFERROR(__xludf.DUMMYFUNCTION("""COMPUTED_VALUE"""),0.0180208333333333)</f>
        <v>1.8020833333333298E-2</v>
      </c>
      <c r="X21" s="16">
        <f ca="1">IFERROR(__xludf.DUMMYFUNCTION("""COMPUTED_VALUE"""),10)</f>
        <v>10</v>
      </c>
      <c r="Y21" s="16">
        <f ca="1">IFERROR(__xludf.DUMMYFUNCTION("""COMPUTED_VALUE"""),51)</f>
        <v>51</v>
      </c>
      <c r="Z21" s="16">
        <f ca="1">IFERROR(__xludf.DUMMYFUNCTION("""COMPUTED_VALUE"""),1)</f>
        <v>1</v>
      </c>
      <c r="AA21" s="16">
        <f ca="1">IFERROR(__xludf.DUMMYFUNCTION("""COMPUTED_VALUE"""),60)</f>
        <v>60</v>
      </c>
      <c r="AB21" s="16">
        <f ca="1">IFERROR(__xludf.DUMMYFUNCTION("""COMPUTED_VALUE"""),2)</f>
        <v>2</v>
      </c>
      <c r="AC21" s="16">
        <f ca="1">IFERROR(__xludf.DUMMYFUNCTION("""COMPUTED_VALUE"""),0)</f>
        <v>0</v>
      </c>
      <c r="AD21" s="16">
        <f ca="1">IFERROR(__xludf.DUMMYFUNCTION("""COMPUTED_VALUE"""),2)</f>
        <v>2</v>
      </c>
      <c r="AE21" s="16">
        <f ca="1">IFERROR(__xludf.DUMMYFUNCTION("""COMPUTED_VALUE"""),0)</f>
        <v>0</v>
      </c>
      <c r="AF21" s="16">
        <f ca="1">IFERROR(__xludf.DUMMYFUNCTION("""COMPUTED_VALUE"""),13)</f>
        <v>13</v>
      </c>
      <c r="AG21" s="16">
        <f ca="1">IFERROR(__xludf.DUMMYFUNCTION("""COMPUTED_VALUE"""),48)</f>
        <v>48</v>
      </c>
      <c r="AH21" s="16">
        <f ca="1">IFERROR(__xludf.DUMMYFUNCTION("""COMPUTED_VALUE"""),0)</f>
        <v>0</v>
      </c>
      <c r="AI21" s="16">
        <f ca="1">IFERROR(__xludf.DUMMYFUNCTION("""COMPUTED_VALUE"""),13)</f>
        <v>13</v>
      </c>
      <c r="AJ21" s="16" t="str">
        <f ca="1">IFERROR(__xludf.DUMMYFUNCTION("""COMPUTED_VALUE"""),"")</f>
        <v/>
      </c>
      <c r="AK21" s="16" t="str">
        <f ca="1">IFERROR(__xludf.DUMMYFUNCTION("""COMPUTED_VALUE"""),"")</f>
        <v/>
      </c>
      <c r="AL21" s="16" t="str">
        <f ca="1">IFERROR(__xludf.DUMMYFUNCTION("""COMPUTED_VALUE"""),"")</f>
        <v/>
      </c>
      <c r="AM21" s="16" t="str">
        <f ca="1">IFERROR(__xludf.DUMMYFUNCTION("""COMPUTED_VALUE"""),"")</f>
        <v/>
      </c>
      <c r="AN21" s="24" t="str">
        <f ca="1">IFERROR(__xludf.DUMMYFUNCTION("""COMPUTED_VALUE"""),"")</f>
        <v/>
      </c>
    </row>
    <row r="22" spans="1:40" x14ac:dyDescent="0.2">
      <c r="A22" s="20">
        <f ca="1">IF($H22="","",IF(ISERROR(MATCH($O22,Lge_Scratch!$B:$B,0)),1,0))</f>
        <v>0</v>
      </c>
      <c r="B22" s="20">
        <f ca="1">IF($H22="","",IF(AND($AG22&gt;0,ISERROR(MATCH($O22,Lge_NonAero!$B:$B,0))),1,0))</f>
        <v>0</v>
      </c>
      <c r="C22" s="20">
        <f ca="1">IF($H22="","",IF(ISERROR(MATCH($O22,Lge_Handicap!$B:$B,0)),1,0))</f>
        <v>0</v>
      </c>
      <c r="D22" s="20">
        <f ca="1">IF($H22="","",IF(AND(LEFT($P22,3)="Wom",ISERROR(MATCH($O22,Lge_Womens!$B:$B,0))),1,0))</f>
        <v>0</v>
      </c>
      <c r="E22" s="20">
        <f ca="1">IF($H22="","",IF(AND(OR($P22="Vet",$P22="Woman Vet"),ISERROR(MATCH($O22,Lge_Veterans!$B:$B,0))),1,0))</f>
        <v>0</v>
      </c>
      <c r="F22" s="20">
        <f ca="1">IF($H22="","",IF(AND(OR($P22="Junior",$P22="Youth"),ISERROR(MATCH($O22,Lge_Junior!$B:$B,0))),1,0))</f>
        <v>0</v>
      </c>
      <c r="G22" s="20">
        <f ca="1">IF($H22="","",IF(AND($P22="Youth",ISERROR(MATCH($O22,Lge_Youth!$B:$B,0))),1,0))</f>
        <v>0</v>
      </c>
      <c r="H22" s="16" t="str">
        <f ca="1">IFERROR(__xludf.DUMMYFUNCTION("""COMPUTED_VALUE"""),"45768_Sunday League_10")</f>
        <v>45768_Sunday League_10</v>
      </c>
      <c r="I22" s="16" t="str">
        <f ca="1">IFERROR(__xludf.DUMMYFUNCTION("""COMPUTED_VALUE"""),"45768_Sunday League_10_19")</f>
        <v>45768_Sunday League_10_19</v>
      </c>
      <c r="J22" s="16">
        <f ca="1">IFERROR(__xludf.DUMMYFUNCTION("""COMPUTED_VALUE"""),20)</f>
        <v>20</v>
      </c>
      <c r="K22" s="16" t="str">
        <f ca="1">IFERROR(__xludf.DUMMYFUNCTION("""COMPUTED_VALUE"""),"Sunday League")</f>
        <v>Sunday League</v>
      </c>
      <c r="L22" s="22">
        <f ca="1">IFERROR(__xludf.DUMMYFUNCTION("""COMPUTED_VALUE"""),45768)</f>
        <v>45768</v>
      </c>
      <c r="M22" s="16">
        <f ca="1">IFERROR(__xludf.DUMMYFUNCTION("""COMPUTED_VALUE"""),10)</f>
        <v>10</v>
      </c>
      <c r="N22" s="16">
        <f ca="1">IFERROR(__xludf.DUMMYFUNCTION("""COMPUTED_VALUE"""),19)</f>
        <v>19</v>
      </c>
      <c r="O22" s="16" t="str">
        <f ca="1">IFERROR(__xludf.DUMMYFUNCTION("""COMPUTED_VALUE"""),"Zena Shean")</f>
        <v>Zena Shean</v>
      </c>
      <c r="P22" s="16" t="str">
        <f ca="1">IFERROR(__xludf.DUMMYFUNCTION("""COMPUTED_VALUE"""),"Woman Vet")</f>
        <v>Woman Vet</v>
      </c>
      <c r="Q22" s="23">
        <f ca="1">IFERROR(__xludf.DUMMYFUNCTION("""COMPUTED_VALUE"""),0.0232523148148148)</f>
        <v>2.3252314814814799E-2</v>
      </c>
      <c r="R22" s="16" t="str">
        <f ca="1">IFERROR(__xludf.DUMMYFUNCTION("""COMPUTED_VALUE"""),"Non-aero")</f>
        <v>Non-aero</v>
      </c>
      <c r="S22" s="16">
        <f ca="1">IFERROR(__xludf.DUMMYFUNCTION("""COMPUTED_VALUE"""),42)</f>
        <v>42</v>
      </c>
      <c r="T22" s="23">
        <f ca="1">IFERROR(__xludf.DUMMYFUNCTION("""COMPUTED_VALUE"""),0.013854)</f>
        <v>1.3854E-2</v>
      </c>
      <c r="U22" s="16">
        <f ca="1">IFERROR(__xludf.DUMMYFUNCTION("""COMPUTED_VALUE"""),18)</f>
        <v>18</v>
      </c>
      <c r="V22" s="16">
        <f ca="1">IFERROR(__xludf.DUMMYFUNCTION("""COMPUTED_VALUE"""),43)</f>
        <v>43</v>
      </c>
      <c r="W22" s="23">
        <f ca="1">IFERROR(__xludf.DUMMYFUNCTION("""COMPUTED_VALUE"""),0.0206828703703703)</f>
        <v>2.0682870370370299E-2</v>
      </c>
      <c r="X22" s="16">
        <f ca="1">IFERROR(__xludf.DUMMYFUNCTION("""COMPUTED_VALUE"""),16)</f>
        <v>16</v>
      </c>
      <c r="Y22" s="16">
        <f ca="1">IFERROR(__xludf.DUMMYFUNCTION("""COMPUTED_VALUE"""),45)</f>
        <v>45</v>
      </c>
      <c r="Z22" s="16">
        <f ca="1">IFERROR(__xludf.DUMMYFUNCTION("""COMPUTED_VALUE"""),2)</f>
        <v>2</v>
      </c>
      <c r="AA22" s="16">
        <f ca="1">IFERROR(__xludf.DUMMYFUNCTION("""COMPUTED_VALUE"""),59)</f>
        <v>59</v>
      </c>
      <c r="AB22" s="16">
        <f ca="1">IFERROR(__xludf.DUMMYFUNCTION("""COMPUTED_VALUE"""),2)</f>
        <v>2</v>
      </c>
      <c r="AC22" s="16">
        <f ca="1">IFERROR(__xludf.DUMMYFUNCTION("""COMPUTED_VALUE"""),0)</f>
        <v>0</v>
      </c>
      <c r="AD22" s="16">
        <f ca="1">IFERROR(__xludf.DUMMYFUNCTION("""COMPUTED_VALUE"""),2)</f>
        <v>2</v>
      </c>
      <c r="AE22" s="16">
        <f ca="1">IFERROR(__xludf.DUMMYFUNCTION("""COMPUTED_VALUE"""),0)</f>
        <v>0</v>
      </c>
      <c r="AF22" s="16">
        <f ca="1">IFERROR(__xludf.DUMMYFUNCTION("""COMPUTED_VALUE"""),14)</f>
        <v>14</v>
      </c>
      <c r="AG22" s="16">
        <f ca="1">IFERROR(__xludf.DUMMYFUNCTION("""COMPUTED_VALUE"""),47)</f>
        <v>47</v>
      </c>
      <c r="AH22" s="16">
        <f ca="1">IFERROR(__xludf.DUMMYFUNCTION("""COMPUTED_VALUE"""),0)</f>
        <v>0</v>
      </c>
      <c r="AI22" s="16">
        <f ca="1">IFERROR(__xludf.DUMMYFUNCTION("""COMPUTED_VALUE"""),14)</f>
        <v>14</v>
      </c>
      <c r="AJ22" s="16" t="str">
        <f ca="1">IFERROR(__xludf.DUMMYFUNCTION("""COMPUTED_VALUE"""),"")</f>
        <v/>
      </c>
      <c r="AK22" s="16" t="str">
        <f ca="1">IFERROR(__xludf.DUMMYFUNCTION("""COMPUTED_VALUE"""),"")</f>
        <v/>
      </c>
      <c r="AL22" s="16" t="str">
        <f ca="1">IFERROR(__xludf.DUMMYFUNCTION("""COMPUTED_VALUE"""),"")</f>
        <v/>
      </c>
      <c r="AM22" s="16" t="str">
        <f ca="1">IFERROR(__xludf.DUMMYFUNCTION("""COMPUTED_VALUE"""),"")</f>
        <v/>
      </c>
      <c r="AN22" s="24" t="str">
        <f ca="1">IFERROR(__xludf.DUMMYFUNCTION("""COMPUTED_VALUE"""),"")</f>
        <v/>
      </c>
    </row>
    <row r="23" spans="1:40" x14ac:dyDescent="0.2">
      <c r="A23" s="20">
        <f ca="1">IF($H23="","",IF(ISERROR(MATCH($O23,Lge_Scratch!$B:$B,0)),1,0))</f>
        <v>0</v>
      </c>
      <c r="B23" s="20">
        <f ca="1">IF($H23="","",IF(AND($AG23&gt;0,ISERROR(MATCH($O23,Lge_NonAero!$B:$B,0))),1,0))</f>
        <v>0</v>
      </c>
      <c r="C23" s="20">
        <f ca="1">IF($H23="","",IF(ISERROR(MATCH($O23,Lge_Handicap!$B:$B,0)),1,0))</f>
        <v>0</v>
      </c>
      <c r="D23" s="20">
        <f ca="1">IF($H23="","",IF(AND(LEFT($P23,3)="Wom",ISERROR(MATCH($O23,Lge_Womens!$B:$B,0))),1,0))</f>
        <v>0</v>
      </c>
      <c r="E23" s="20">
        <f ca="1">IF($H23="","",IF(AND(OR($P23="Vet",$P23="Woman Vet"),ISERROR(MATCH($O23,Lge_Veterans!$B:$B,0))),1,0))</f>
        <v>0</v>
      </c>
      <c r="F23" s="20">
        <f ca="1">IF($H23="","",IF(AND(OR($P23="Junior",$P23="Youth"),ISERROR(MATCH($O23,Lge_Junior!$B:$B,0))),1,0))</f>
        <v>0</v>
      </c>
      <c r="G23" s="20">
        <f ca="1">IF($H23="","",IF(AND($P23="Youth",ISERROR(MATCH($O23,Lge_Youth!$B:$B,0))),1,0))</f>
        <v>0</v>
      </c>
      <c r="H23" s="16" t="str">
        <f ca="1">IFERROR(__xludf.DUMMYFUNCTION("""COMPUTED_VALUE"""),"45768_Sunday League_10")</f>
        <v>45768_Sunday League_10</v>
      </c>
      <c r="I23" s="16" t="str">
        <f ca="1">IFERROR(__xludf.DUMMYFUNCTION("""COMPUTED_VALUE"""),"45768_Sunday League_10_20")</f>
        <v>45768_Sunday League_10_20</v>
      </c>
      <c r="J23" s="16">
        <f ca="1">IFERROR(__xludf.DUMMYFUNCTION("""COMPUTED_VALUE"""),20)</f>
        <v>20</v>
      </c>
      <c r="K23" s="16" t="str">
        <f ca="1">IFERROR(__xludf.DUMMYFUNCTION("""COMPUTED_VALUE"""),"Sunday League")</f>
        <v>Sunday League</v>
      </c>
      <c r="L23" s="22">
        <f ca="1">IFERROR(__xludf.DUMMYFUNCTION("""COMPUTED_VALUE"""),45768)</f>
        <v>45768</v>
      </c>
      <c r="M23" s="16">
        <f ca="1">IFERROR(__xludf.DUMMYFUNCTION("""COMPUTED_VALUE"""),10)</f>
        <v>10</v>
      </c>
      <c r="N23" s="16">
        <f ca="1">IFERROR(__xludf.DUMMYFUNCTION("""COMPUTED_VALUE"""),20)</f>
        <v>20</v>
      </c>
      <c r="O23" s="16" t="str">
        <f ca="1">IFERROR(__xludf.DUMMYFUNCTION("""COMPUTED_VALUE"""),"Kevin Smith")</f>
        <v>Kevin Smith</v>
      </c>
      <c r="P23" s="16" t="str">
        <f ca="1">IFERROR(__xludf.DUMMYFUNCTION("""COMPUTED_VALUE"""),"Vet")</f>
        <v>Vet</v>
      </c>
      <c r="Q23" s="23">
        <f ca="1">IFERROR(__xludf.DUMMYFUNCTION("""COMPUTED_VALUE"""),0.0248263888888888)</f>
        <v>2.4826388888888801E-2</v>
      </c>
      <c r="R23" s="16" t="str">
        <f ca="1">IFERROR(__xludf.DUMMYFUNCTION("""COMPUTED_VALUE"""),"Non-aero")</f>
        <v>Non-aero</v>
      </c>
      <c r="S23" s="16">
        <f ca="1">IFERROR(__xludf.DUMMYFUNCTION("""COMPUTED_VALUE"""),41)</f>
        <v>41</v>
      </c>
      <c r="T23" s="23">
        <f ca="1">IFERROR(__xludf.DUMMYFUNCTION("""COMPUTED_VALUE"""),0.013287)</f>
        <v>1.3287E-2</v>
      </c>
      <c r="U23" s="16">
        <f ca="1">IFERROR(__xludf.DUMMYFUNCTION("""COMPUTED_VALUE"""),17)</f>
        <v>17</v>
      </c>
      <c r="V23" s="16">
        <f ca="1">IFERROR(__xludf.DUMMYFUNCTION("""COMPUTED_VALUE"""),44)</f>
        <v>44</v>
      </c>
      <c r="W23" s="23">
        <f ca="1">IFERROR(__xludf.DUMMYFUNCTION("""COMPUTED_VALUE"""),0.0230902777777777)</f>
        <v>2.3090277777777699E-2</v>
      </c>
      <c r="X23" s="16">
        <f ca="1">IFERROR(__xludf.DUMMYFUNCTION("""COMPUTED_VALUE"""),17)</f>
        <v>17</v>
      </c>
      <c r="Y23" s="16">
        <f ca="1">IFERROR(__xludf.DUMMYFUNCTION("""COMPUTED_VALUE"""),44)</f>
        <v>44</v>
      </c>
      <c r="Z23" s="16">
        <f ca="1">IFERROR(__xludf.DUMMYFUNCTION("""COMPUTED_VALUE"""),2)</f>
        <v>2</v>
      </c>
      <c r="AA23" s="16">
        <f ca="1">IFERROR(__xludf.DUMMYFUNCTION("""COMPUTED_VALUE"""),0)</f>
        <v>0</v>
      </c>
      <c r="AB23" s="16">
        <f ca="1">IFERROR(__xludf.DUMMYFUNCTION("""COMPUTED_VALUE"""),2)</f>
        <v>2</v>
      </c>
      <c r="AC23" s="16">
        <f ca="1">IFERROR(__xludf.DUMMYFUNCTION("""COMPUTED_VALUE"""),0)</f>
        <v>0</v>
      </c>
      <c r="AD23" s="16">
        <f ca="1">IFERROR(__xludf.DUMMYFUNCTION("""COMPUTED_VALUE"""),2)</f>
        <v>2</v>
      </c>
      <c r="AE23" s="16">
        <f ca="1">IFERROR(__xludf.DUMMYFUNCTION("""COMPUTED_VALUE"""),0)</f>
        <v>0</v>
      </c>
      <c r="AF23" s="16">
        <f ca="1">IFERROR(__xludf.DUMMYFUNCTION("""COMPUTED_VALUE"""),15)</f>
        <v>15</v>
      </c>
      <c r="AG23" s="16">
        <f ca="1">IFERROR(__xludf.DUMMYFUNCTION("""COMPUTED_VALUE"""),46)</f>
        <v>46</v>
      </c>
      <c r="AH23" s="16">
        <f ca="1">IFERROR(__xludf.DUMMYFUNCTION("""COMPUTED_VALUE"""),0)</f>
        <v>0</v>
      </c>
      <c r="AI23" s="16">
        <f ca="1">IFERROR(__xludf.DUMMYFUNCTION("""COMPUTED_VALUE"""),15)</f>
        <v>15</v>
      </c>
      <c r="AJ23" s="16" t="str">
        <f ca="1">IFERROR(__xludf.DUMMYFUNCTION("""COMPUTED_VALUE"""),"")</f>
        <v/>
      </c>
      <c r="AK23" s="16" t="str">
        <f ca="1">IFERROR(__xludf.DUMMYFUNCTION("""COMPUTED_VALUE"""),"")</f>
        <v/>
      </c>
      <c r="AL23" s="16" t="str">
        <f ca="1">IFERROR(__xludf.DUMMYFUNCTION("""COMPUTED_VALUE"""),"")</f>
        <v/>
      </c>
      <c r="AM23" s="16" t="str">
        <f ca="1">IFERROR(__xludf.DUMMYFUNCTION("""COMPUTED_VALUE"""),"")</f>
        <v/>
      </c>
      <c r="AN23" s="24" t="str">
        <f ca="1">IFERROR(__xludf.DUMMYFUNCTION("""COMPUTED_VALUE"""),"")</f>
        <v/>
      </c>
    </row>
    <row r="24" spans="1:40" x14ac:dyDescent="0.2">
      <c r="A24" s="20">
        <f ca="1">IF($H24="","",IF(ISERROR(MATCH($O24,Lge_Scratch!$B:$B,0)),1,0))</f>
        <v>0</v>
      </c>
      <c r="B24" s="20">
        <f ca="1">IF($H24="","",IF(AND($AG24&gt;0,ISERROR(MATCH($O24,Lge_NonAero!$B:$B,0))),1,0))</f>
        <v>0</v>
      </c>
      <c r="C24" s="20">
        <f ca="1">IF($H24="","",IF(ISERROR(MATCH($O24,Lge_Handicap!$B:$B,0)),1,0))</f>
        <v>0</v>
      </c>
      <c r="D24" s="20">
        <f ca="1">IF($H24="","",IF(AND(LEFT($P24,3)="Wom",ISERROR(MATCH($O24,Lge_Womens!$B:$B,0))),1,0))</f>
        <v>0</v>
      </c>
      <c r="E24" s="20">
        <f ca="1">IF($H24="","",IF(AND(OR($P24="Vet",$P24="Woman Vet"),ISERROR(MATCH($O24,Lge_Veterans!$B:$B,0))),1,0))</f>
        <v>0</v>
      </c>
      <c r="F24" s="20">
        <f ca="1">IF($H24="","",IF(AND(OR($P24="Junior",$P24="Youth"),ISERROR(MATCH($O24,Lge_Junior!$B:$B,0))),1,0))</f>
        <v>0</v>
      </c>
      <c r="G24" s="20">
        <f ca="1">IF($H24="","",IF(AND($P24="Youth",ISERROR(MATCH($O24,Lge_Youth!$B:$B,0))),1,0))</f>
        <v>0</v>
      </c>
      <c r="H24" s="16" t="str">
        <f ca="1">IFERROR(__xludf.DUMMYFUNCTION("""COMPUTED_VALUE"""),"45765_Sunday League_25")</f>
        <v>45765_Sunday League_25</v>
      </c>
      <c r="I24" s="16" t="str">
        <f ca="1">IFERROR(__xludf.DUMMYFUNCTION("""COMPUTED_VALUE"""),"45765_Sunday League_25_1")</f>
        <v>45765_Sunday League_25_1</v>
      </c>
      <c r="J24" s="16">
        <f ca="1">IFERROR(__xludf.DUMMYFUNCTION("""COMPUTED_VALUE"""),4)</f>
        <v>4</v>
      </c>
      <c r="K24" s="16" t="str">
        <f ca="1">IFERROR(__xludf.DUMMYFUNCTION("""COMPUTED_VALUE"""),"Sunday League")</f>
        <v>Sunday League</v>
      </c>
      <c r="L24" s="22">
        <f ca="1">IFERROR(__xludf.DUMMYFUNCTION("""COMPUTED_VALUE"""),45765)</f>
        <v>45765</v>
      </c>
      <c r="M24" s="16">
        <f ca="1">IFERROR(__xludf.DUMMYFUNCTION("""COMPUTED_VALUE"""),25)</f>
        <v>25</v>
      </c>
      <c r="N24" s="16">
        <f ca="1">IFERROR(__xludf.DUMMYFUNCTION("""COMPUTED_VALUE"""),1)</f>
        <v>1</v>
      </c>
      <c r="O24" s="16" t="str">
        <f ca="1">IFERROR(__xludf.DUMMYFUNCTION("""COMPUTED_VALUE"""),"David Pennington")</f>
        <v>David Pennington</v>
      </c>
      <c r="P24" s="16" t="str">
        <f ca="1">IFERROR(__xludf.DUMMYFUNCTION("""COMPUTED_VALUE"""),"Senior")</f>
        <v>Senior</v>
      </c>
      <c r="Q24" s="23">
        <f ca="1">IFERROR(__xludf.DUMMYFUNCTION("""COMPUTED_VALUE"""),0.0389930555555555)</f>
        <v>3.8993055555555503E-2</v>
      </c>
      <c r="R24" s="16" t="str">
        <f ca="1">IFERROR(__xludf.DUMMYFUNCTION("""COMPUTED_VALUE"""),"CB")</f>
        <v>CB</v>
      </c>
      <c r="S24" s="16">
        <f ca="1">IFERROR(__xludf.DUMMYFUNCTION("""COMPUTED_VALUE"""),60)</f>
        <v>60</v>
      </c>
      <c r="T24" s="23">
        <f ca="1">IFERROR(__xludf.DUMMYFUNCTION("""COMPUTED_VALUE"""),0.029815)</f>
        <v>2.9815000000000001E-2</v>
      </c>
      <c r="U24" s="16">
        <f ca="1">IFERROR(__xludf.DUMMYFUNCTION("""COMPUTED_VALUE"""),1)</f>
        <v>1</v>
      </c>
      <c r="V24" s="16">
        <f ca="1">IFERROR(__xludf.DUMMYFUNCTION("""COMPUTED_VALUE"""),60)</f>
        <v>60</v>
      </c>
      <c r="W24" s="23">
        <f ca="1">IFERROR(__xludf.DUMMYFUNCTION("""COMPUTED_VALUE"""),0)</f>
        <v>0</v>
      </c>
      <c r="X24" s="16">
        <f ca="1">IFERROR(__xludf.DUMMYFUNCTION("""COMPUTED_VALUE"""),0)</f>
        <v>0</v>
      </c>
      <c r="Y24" s="16">
        <f ca="1">IFERROR(__xludf.DUMMYFUNCTION("""COMPUTED_VALUE"""),0)</f>
        <v>0</v>
      </c>
      <c r="Z24" s="16">
        <f ca="1">IFERROR(__xludf.DUMMYFUNCTION("""COMPUTED_VALUE"""),0)</f>
        <v>0</v>
      </c>
      <c r="AA24" s="16">
        <f ca="1">IFERROR(__xludf.DUMMYFUNCTION("""COMPUTED_VALUE"""),0)</f>
        <v>0</v>
      </c>
      <c r="AB24" s="16">
        <f ca="1">IFERROR(__xludf.DUMMYFUNCTION("""COMPUTED_VALUE"""),0)</f>
        <v>0</v>
      </c>
      <c r="AC24" s="16">
        <f ca="1">IFERROR(__xludf.DUMMYFUNCTION("""COMPUTED_VALUE"""),0)</f>
        <v>0</v>
      </c>
      <c r="AD24" s="16">
        <f ca="1">IFERROR(__xludf.DUMMYFUNCTION("""COMPUTED_VALUE"""),0)</f>
        <v>0</v>
      </c>
      <c r="AE24" s="16">
        <f ca="1">IFERROR(__xludf.DUMMYFUNCTION("""COMPUTED_VALUE"""),0)</f>
        <v>0</v>
      </c>
      <c r="AF24" s="16" t="str">
        <f ca="1">IFERROR(__xludf.DUMMYFUNCTION("""COMPUTED_VALUE"""),"")</f>
        <v/>
      </c>
      <c r="AG24" s="16">
        <f ca="1">IFERROR(__xludf.DUMMYFUNCTION("""COMPUTED_VALUE"""),0)</f>
        <v>0</v>
      </c>
      <c r="AH24" s="16">
        <f ca="1">IFERROR(__xludf.DUMMYFUNCTION("""COMPUTED_VALUE"""),0)</f>
        <v>0</v>
      </c>
      <c r="AI24" s="16" t="str">
        <f ca="1">IFERROR(__xludf.DUMMYFUNCTION("""COMPUTED_VALUE"""),"")</f>
        <v/>
      </c>
      <c r="AJ24" s="16" t="str">
        <f ca="1">IFERROR(__xludf.DUMMYFUNCTION("""COMPUTED_VALUE"""),"")</f>
        <v/>
      </c>
      <c r="AK24" s="16" t="str">
        <f ca="1">IFERROR(__xludf.DUMMYFUNCTION("""COMPUTED_VALUE"""),"CB")</f>
        <v>CB</v>
      </c>
      <c r="AL24" s="16" t="str">
        <f ca="1">IFERROR(__xludf.DUMMYFUNCTION("""COMPUTED_VALUE"""),"")</f>
        <v/>
      </c>
      <c r="AM24" s="16" t="str">
        <f ca="1">IFERROR(__xludf.DUMMYFUNCTION("""COMPUTED_VALUE"""),"")</f>
        <v/>
      </c>
      <c r="AN24" s="24" t="str">
        <f ca="1">IFERROR(__xludf.DUMMYFUNCTION("""COMPUTED_VALUE"""),"")</f>
        <v/>
      </c>
    </row>
    <row r="25" spans="1:40" x14ac:dyDescent="0.2">
      <c r="A25" s="20">
        <f ca="1">IF($H25="","",IF(ISERROR(MATCH($O25,Lge_Scratch!$B:$B,0)),1,0))</f>
        <v>0</v>
      </c>
      <c r="B25" s="20">
        <f ca="1">IF($H25="","",IF(AND($AG25&gt;0,ISERROR(MATCH($O25,Lge_NonAero!$B:$B,0))),1,0))</f>
        <v>0</v>
      </c>
      <c r="C25" s="20">
        <f ca="1">IF($H25="","",IF(ISERROR(MATCH($O25,Lge_Handicap!$B:$B,0)),1,0))</f>
        <v>0</v>
      </c>
      <c r="D25" s="20">
        <f ca="1">IF($H25="","",IF(AND(LEFT($P25,3)="Wom",ISERROR(MATCH($O25,Lge_Womens!$B:$B,0))),1,0))</f>
        <v>0</v>
      </c>
      <c r="E25" s="20">
        <f ca="1">IF($H25="","",IF(AND(OR($P25="Vet",$P25="Woman Vet"),ISERROR(MATCH($O25,Lge_Veterans!$B:$B,0))),1,0))</f>
        <v>0</v>
      </c>
      <c r="F25" s="20">
        <f ca="1">IF($H25="","",IF(AND(OR($P25="Junior",$P25="Youth"),ISERROR(MATCH($O25,Lge_Junior!$B:$B,0))),1,0))</f>
        <v>0</v>
      </c>
      <c r="G25" s="20">
        <f ca="1">IF($H25="","",IF(AND($P25="Youth",ISERROR(MATCH($O25,Lge_Youth!$B:$B,0))),1,0))</f>
        <v>0</v>
      </c>
      <c r="H25" s="16" t="str">
        <f ca="1">IFERROR(__xludf.DUMMYFUNCTION("""COMPUTED_VALUE"""),"45765_Sunday League_25")</f>
        <v>45765_Sunday League_25</v>
      </c>
      <c r="I25" s="16" t="str">
        <f ca="1">IFERROR(__xludf.DUMMYFUNCTION("""COMPUTED_VALUE"""),"45765_Sunday League_25_2")</f>
        <v>45765_Sunday League_25_2</v>
      </c>
      <c r="J25" s="16">
        <f ca="1">IFERROR(__xludf.DUMMYFUNCTION("""COMPUTED_VALUE"""),4)</f>
        <v>4</v>
      </c>
      <c r="K25" s="16" t="str">
        <f ca="1">IFERROR(__xludf.DUMMYFUNCTION("""COMPUTED_VALUE"""),"Sunday League")</f>
        <v>Sunday League</v>
      </c>
      <c r="L25" s="22">
        <f ca="1">IFERROR(__xludf.DUMMYFUNCTION("""COMPUTED_VALUE"""),45765)</f>
        <v>45765</v>
      </c>
      <c r="M25" s="16">
        <f ca="1">IFERROR(__xludf.DUMMYFUNCTION("""COMPUTED_VALUE"""),25)</f>
        <v>25</v>
      </c>
      <c r="N25" s="16">
        <f ca="1">IFERROR(__xludf.DUMMYFUNCTION("""COMPUTED_VALUE"""),2)</f>
        <v>2</v>
      </c>
      <c r="O25" s="16" t="str">
        <f ca="1">IFERROR(__xludf.DUMMYFUNCTION("""COMPUTED_VALUE"""),"Jennie Pennington")</f>
        <v>Jennie Pennington</v>
      </c>
      <c r="P25" s="16" t="str">
        <f ca="1">IFERROR(__xludf.DUMMYFUNCTION("""COMPUTED_VALUE"""),"Woman Vet")</f>
        <v>Woman Vet</v>
      </c>
      <c r="Q25" s="23">
        <f ca="1">IFERROR(__xludf.DUMMYFUNCTION("""COMPUTED_VALUE"""),0.0472685185185185)</f>
        <v>4.7268518518518501E-2</v>
      </c>
      <c r="R25" s="16" t="str">
        <f ca="1">IFERROR(__xludf.DUMMYFUNCTION("""COMPUTED_VALUE"""),"CB")</f>
        <v>CB</v>
      </c>
      <c r="S25" s="16">
        <f ca="1">IFERROR(__xludf.DUMMYFUNCTION("""COMPUTED_VALUE"""),59)</f>
        <v>59</v>
      </c>
      <c r="T25" s="23">
        <f ca="1">IFERROR(__xludf.DUMMYFUNCTION("""COMPUTED_VALUE"""),0.03037)</f>
        <v>3.0370000000000001E-2</v>
      </c>
      <c r="U25" s="16">
        <f ca="1">IFERROR(__xludf.DUMMYFUNCTION("""COMPUTED_VALUE"""),2)</f>
        <v>2</v>
      </c>
      <c r="V25" s="16">
        <f ca="1">IFERROR(__xludf.DUMMYFUNCTION("""COMPUTED_VALUE"""),59)</f>
        <v>59</v>
      </c>
      <c r="W25" s="23">
        <f ca="1">IFERROR(__xludf.DUMMYFUNCTION("""COMPUTED_VALUE"""),0.0425694444444444)</f>
        <v>4.2569444444444403E-2</v>
      </c>
      <c r="X25" s="16">
        <f ca="1">IFERROR(__xludf.DUMMYFUNCTION("""COMPUTED_VALUE"""),1)</f>
        <v>1</v>
      </c>
      <c r="Y25" s="16">
        <f ca="1">IFERROR(__xludf.DUMMYFUNCTION("""COMPUTED_VALUE"""),60)</f>
        <v>60</v>
      </c>
      <c r="Z25" s="16">
        <f ca="1">IFERROR(__xludf.DUMMYFUNCTION("""COMPUTED_VALUE"""),1)</f>
        <v>1</v>
      </c>
      <c r="AA25" s="16">
        <f ca="1">IFERROR(__xludf.DUMMYFUNCTION("""COMPUTED_VALUE"""),60)</f>
        <v>60</v>
      </c>
      <c r="AB25" s="16">
        <f ca="1">IFERROR(__xludf.DUMMYFUNCTION("""COMPUTED_VALUE"""),0)</f>
        <v>0</v>
      </c>
      <c r="AC25" s="16">
        <f ca="1">IFERROR(__xludf.DUMMYFUNCTION("""COMPUTED_VALUE"""),0)</f>
        <v>0</v>
      </c>
      <c r="AD25" s="16">
        <f ca="1">IFERROR(__xludf.DUMMYFUNCTION("""COMPUTED_VALUE"""),0)</f>
        <v>0</v>
      </c>
      <c r="AE25" s="16">
        <f ca="1">IFERROR(__xludf.DUMMYFUNCTION("""COMPUTED_VALUE"""),0)</f>
        <v>0</v>
      </c>
      <c r="AF25" s="16" t="str">
        <f ca="1">IFERROR(__xludf.DUMMYFUNCTION("""COMPUTED_VALUE"""),"")</f>
        <v/>
      </c>
      <c r="AG25" s="16">
        <f ca="1">IFERROR(__xludf.DUMMYFUNCTION("""COMPUTED_VALUE"""),0)</f>
        <v>0</v>
      </c>
      <c r="AH25" s="16">
        <f ca="1">IFERROR(__xludf.DUMMYFUNCTION("""COMPUTED_VALUE"""),0)</f>
        <v>0</v>
      </c>
      <c r="AI25" s="16" t="str">
        <f ca="1">IFERROR(__xludf.DUMMYFUNCTION("""COMPUTED_VALUE"""),"")</f>
        <v/>
      </c>
      <c r="AJ25" s="16" t="str">
        <f ca="1">IFERROR(__xludf.DUMMYFUNCTION("""COMPUTED_VALUE"""),"")</f>
        <v/>
      </c>
      <c r="AK25" s="16" t="str">
        <f ca="1">IFERROR(__xludf.DUMMYFUNCTION("""COMPUTED_VALUE"""),"CB")</f>
        <v>CB</v>
      </c>
      <c r="AL25" s="16" t="str">
        <f ca="1">IFERROR(__xludf.DUMMYFUNCTION("""COMPUTED_VALUE"""),"")</f>
        <v/>
      </c>
      <c r="AM25" s="16" t="str">
        <f ca="1">IFERROR(__xludf.DUMMYFUNCTION("""COMPUTED_VALUE"""),"")</f>
        <v/>
      </c>
      <c r="AN25" s="24" t="str">
        <f ca="1">IFERROR(__xludf.DUMMYFUNCTION("""COMPUTED_VALUE"""),"")</f>
        <v/>
      </c>
    </row>
    <row r="26" spans="1:40" x14ac:dyDescent="0.2">
      <c r="A26" s="20">
        <f ca="1">IF($H26="","",IF(ISERROR(MATCH($O26,Lge_Scratch!$B:$B,0)),1,0))</f>
        <v>0</v>
      </c>
      <c r="B26" s="20">
        <f ca="1">IF($H26="","",IF(AND($AG26&gt;0,ISERROR(MATCH($O26,Lge_NonAero!$B:$B,0))),1,0))</f>
        <v>0</v>
      </c>
      <c r="C26" s="20">
        <f ca="1">IF($H26="","",IF(ISERROR(MATCH($O26,Lge_Handicap!$B:$B,0)),1,0))</f>
        <v>0</v>
      </c>
      <c r="D26" s="20">
        <f ca="1">IF($H26="","",IF(AND(LEFT($P26,3)="Wom",ISERROR(MATCH($O26,Lge_Womens!$B:$B,0))),1,0))</f>
        <v>0</v>
      </c>
      <c r="E26" s="20">
        <f ca="1">IF($H26="","",IF(AND(OR($P26="Vet",$P26="Woman Vet"),ISERROR(MATCH($O26,Lge_Veterans!$B:$B,0))),1,0))</f>
        <v>0</v>
      </c>
      <c r="F26" s="20">
        <f ca="1">IF($H26="","",IF(AND(OR($P26="Junior",$P26="Youth"),ISERROR(MATCH($O26,Lge_Junior!$B:$B,0))),1,0))</f>
        <v>0</v>
      </c>
      <c r="G26" s="20">
        <f ca="1">IF($H26="","",IF(AND($P26="Youth",ISERROR(MATCH($O26,Lge_Youth!$B:$B,0))),1,0))</f>
        <v>0</v>
      </c>
      <c r="H26" s="16" t="str">
        <f ca="1">IFERROR(__xludf.DUMMYFUNCTION("""COMPUTED_VALUE"""),"45765_Sunday League_25")</f>
        <v>45765_Sunday League_25</v>
      </c>
      <c r="I26" s="16" t="str">
        <f ca="1">IFERROR(__xludf.DUMMYFUNCTION("""COMPUTED_VALUE"""),"45765_Sunday League_25_3")</f>
        <v>45765_Sunday League_25_3</v>
      </c>
      <c r="J26" s="16">
        <f ca="1">IFERROR(__xludf.DUMMYFUNCTION("""COMPUTED_VALUE"""),4)</f>
        <v>4</v>
      </c>
      <c r="K26" s="16" t="str">
        <f ca="1">IFERROR(__xludf.DUMMYFUNCTION("""COMPUTED_VALUE"""),"Sunday League")</f>
        <v>Sunday League</v>
      </c>
      <c r="L26" s="22">
        <f ca="1">IFERROR(__xludf.DUMMYFUNCTION("""COMPUTED_VALUE"""),45765)</f>
        <v>45765</v>
      </c>
      <c r="M26" s="16">
        <f ca="1">IFERROR(__xludf.DUMMYFUNCTION("""COMPUTED_VALUE"""),25)</f>
        <v>25</v>
      </c>
      <c r="N26" s="16">
        <f ca="1">IFERROR(__xludf.DUMMYFUNCTION("""COMPUTED_VALUE"""),3)</f>
        <v>3</v>
      </c>
      <c r="O26" s="16" t="str">
        <f ca="1">IFERROR(__xludf.DUMMYFUNCTION("""COMPUTED_VALUE"""),"Andy Merchant")</f>
        <v>Andy Merchant</v>
      </c>
      <c r="P26" s="16" t="str">
        <f ca="1">IFERROR(__xludf.DUMMYFUNCTION("""COMPUTED_VALUE"""),"Vet")</f>
        <v>Vet</v>
      </c>
      <c r="Q26" s="23">
        <f ca="1">IFERROR(__xludf.DUMMYFUNCTION("""COMPUTED_VALUE"""),0.048761574074074)</f>
        <v>4.8761574074073999E-2</v>
      </c>
      <c r="R26" s="16" t="str">
        <f ca="1">IFERROR(__xludf.DUMMYFUNCTION("""COMPUTED_VALUE"""),"First E6 25 mile TT")</f>
        <v>First E6 25 mile TT</v>
      </c>
      <c r="S26" s="16">
        <f ca="1">IFERROR(__xludf.DUMMYFUNCTION("""COMPUTED_VALUE"""),58)</f>
        <v>58</v>
      </c>
      <c r="T26" s="23">
        <f ca="1">IFERROR(__xludf.DUMMYFUNCTION("""COMPUTED_VALUE"""),0.030509)</f>
        <v>3.0509000000000001E-2</v>
      </c>
      <c r="U26" s="16">
        <f ca="1">IFERROR(__xludf.DUMMYFUNCTION("""COMPUTED_VALUE"""),3)</f>
        <v>3</v>
      </c>
      <c r="V26" s="16">
        <f ca="1">IFERROR(__xludf.DUMMYFUNCTION("""COMPUTED_VALUE"""),58)</f>
        <v>58</v>
      </c>
      <c r="W26" s="23">
        <f ca="1">IFERROR(__xludf.DUMMYFUNCTION("""COMPUTED_VALUE"""),0.0455555555555555)</f>
        <v>4.5555555555555502E-2</v>
      </c>
      <c r="X26" s="16">
        <f ca="1">IFERROR(__xludf.DUMMYFUNCTION("""COMPUTED_VALUE"""),2)</f>
        <v>2</v>
      </c>
      <c r="Y26" s="16">
        <f ca="1">IFERROR(__xludf.DUMMYFUNCTION("""COMPUTED_VALUE"""),59)</f>
        <v>59</v>
      </c>
      <c r="Z26" s="16">
        <f ca="1">IFERROR(__xludf.DUMMYFUNCTION("""COMPUTED_VALUE"""),1)</f>
        <v>1</v>
      </c>
      <c r="AA26" s="16">
        <f ca="1">IFERROR(__xludf.DUMMYFUNCTION("""COMPUTED_VALUE"""),0)</f>
        <v>0</v>
      </c>
      <c r="AB26" s="16">
        <f ca="1">IFERROR(__xludf.DUMMYFUNCTION("""COMPUTED_VALUE"""),0)</f>
        <v>0</v>
      </c>
      <c r="AC26" s="16">
        <f ca="1">IFERROR(__xludf.DUMMYFUNCTION("""COMPUTED_VALUE"""),0)</f>
        <v>0</v>
      </c>
      <c r="AD26" s="16">
        <f ca="1">IFERROR(__xludf.DUMMYFUNCTION("""COMPUTED_VALUE"""),0)</f>
        <v>0</v>
      </c>
      <c r="AE26" s="16">
        <f ca="1">IFERROR(__xludf.DUMMYFUNCTION("""COMPUTED_VALUE"""),0)</f>
        <v>0</v>
      </c>
      <c r="AF26" s="16" t="str">
        <f ca="1">IFERROR(__xludf.DUMMYFUNCTION("""COMPUTED_VALUE"""),"")</f>
        <v/>
      </c>
      <c r="AG26" s="16">
        <f ca="1">IFERROR(__xludf.DUMMYFUNCTION("""COMPUTED_VALUE"""),0)</f>
        <v>0</v>
      </c>
      <c r="AH26" s="16">
        <f ca="1">IFERROR(__xludf.DUMMYFUNCTION("""COMPUTED_VALUE"""),0)</f>
        <v>0</v>
      </c>
      <c r="AI26" s="16" t="str">
        <f ca="1">IFERROR(__xludf.DUMMYFUNCTION("""COMPUTED_VALUE"""),"")</f>
        <v/>
      </c>
      <c r="AJ26" s="16" t="str">
        <f ca="1">IFERROR(__xludf.DUMMYFUNCTION("""COMPUTED_VALUE"""),"First E6 25 mile TT")</f>
        <v>First E6 25 mile TT</v>
      </c>
      <c r="AK26" s="16" t="str">
        <f ca="1">IFERROR(__xludf.DUMMYFUNCTION("""COMPUTED_VALUE"""),"")</f>
        <v/>
      </c>
      <c r="AL26" s="16" t="str">
        <f ca="1">IFERROR(__xludf.DUMMYFUNCTION("""COMPUTED_VALUE"""),"")</f>
        <v/>
      </c>
      <c r="AM26" s="16" t="str">
        <f ca="1">IFERROR(__xludf.DUMMYFUNCTION("""COMPUTED_VALUE"""),"")</f>
        <v/>
      </c>
      <c r="AN26" s="24" t="str">
        <f ca="1">IFERROR(__xludf.DUMMYFUNCTION("""COMPUTED_VALUE"""),"")</f>
        <v/>
      </c>
    </row>
    <row r="27" spans="1:40" x14ac:dyDescent="0.2">
      <c r="A27" s="20">
        <f ca="1">IF($H27="","",IF(ISERROR(MATCH($O27,Lge_Scratch!$B:$B,0)),1,0))</f>
        <v>0</v>
      </c>
      <c r="B27" s="20">
        <f ca="1">IF($H27="","",IF(AND($AG27&gt;0,ISERROR(MATCH($O27,Lge_NonAero!$B:$B,0))),1,0))</f>
        <v>0</v>
      </c>
      <c r="C27" s="20">
        <f ca="1">IF($H27="","",IF(ISERROR(MATCH($O27,Lge_Handicap!$B:$B,0)),1,0))</f>
        <v>0</v>
      </c>
      <c r="D27" s="20">
        <f ca="1">IF($H27="","",IF(AND(LEFT($P27,3)="Wom",ISERROR(MATCH($O27,Lge_Womens!$B:$B,0))),1,0))</f>
        <v>0</v>
      </c>
      <c r="E27" s="20">
        <f ca="1">IF($H27="","",IF(AND(OR($P27="Vet",$P27="Woman Vet"),ISERROR(MATCH($O27,Lge_Veterans!$B:$B,0))),1,0))</f>
        <v>0</v>
      </c>
      <c r="F27" s="20">
        <f ca="1">IF($H27="","",IF(AND(OR($P27="Junior",$P27="Youth"),ISERROR(MATCH($O27,Lge_Junior!$B:$B,0))),1,0))</f>
        <v>0</v>
      </c>
      <c r="G27" s="20">
        <f ca="1">IF($H27="","",IF(AND($P27="Youth",ISERROR(MATCH($O27,Lge_Youth!$B:$B,0))),1,0))</f>
        <v>0</v>
      </c>
      <c r="H27" s="16" t="str">
        <f ca="1">IFERROR(__xludf.DUMMYFUNCTION("""COMPUTED_VALUE"""),"45765_Sunday League_25")</f>
        <v>45765_Sunday League_25</v>
      </c>
      <c r="I27" s="16" t="str">
        <f ca="1">IFERROR(__xludf.DUMMYFUNCTION("""COMPUTED_VALUE"""),"45765_Sunday League_25_4")</f>
        <v>45765_Sunday League_25_4</v>
      </c>
      <c r="J27" s="16">
        <f ca="1">IFERROR(__xludf.DUMMYFUNCTION("""COMPUTED_VALUE"""),4)</f>
        <v>4</v>
      </c>
      <c r="K27" s="16" t="str">
        <f ca="1">IFERROR(__xludf.DUMMYFUNCTION("""COMPUTED_VALUE"""),"Sunday League")</f>
        <v>Sunday League</v>
      </c>
      <c r="L27" s="22">
        <f ca="1">IFERROR(__xludf.DUMMYFUNCTION("""COMPUTED_VALUE"""),45765)</f>
        <v>45765</v>
      </c>
      <c r="M27" s="16">
        <f ca="1">IFERROR(__xludf.DUMMYFUNCTION("""COMPUTED_VALUE"""),25)</f>
        <v>25</v>
      </c>
      <c r="N27" s="16">
        <f ca="1">IFERROR(__xludf.DUMMYFUNCTION("""COMPUTED_VALUE"""),4)</f>
        <v>4</v>
      </c>
      <c r="O27" s="16" t="str">
        <f ca="1">IFERROR(__xludf.DUMMYFUNCTION("""COMPUTED_VALUE"""),"Paul Gribbon")</f>
        <v>Paul Gribbon</v>
      </c>
      <c r="P27" s="16" t="str">
        <f ca="1">IFERROR(__xludf.DUMMYFUNCTION("""COMPUTED_VALUE"""),"Vet")</f>
        <v>Vet</v>
      </c>
      <c r="Q27" s="23">
        <f ca="1">IFERROR(__xludf.DUMMYFUNCTION("""COMPUTED_VALUE"""),0.0493055555555555)</f>
        <v>4.9305555555555498E-2</v>
      </c>
      <c r="R27" s="16" t="str">
        <f ca="1">IFERROR(__xludf.DUMMYFUNCTION("""COMPUTED_VALUE"""),"First E6 25 mile TT")</f>
        <v>First E6 25 mile TT</v>
      </c>
      <c r="S27" s="16">
        <f ca="1">IFERROR(__xludf.DUMMYFUNCTION("""COMPUTED_VALUE"""),57)</f>
        <v>57</v>
      </c>
      <c r="T27" s="23">
        <f ca="1">IFERROR(__xludf.DUMMYFUNCTION("""COMPUTED_VALUE"""),0.033576)</f>
        <v>3.3576000000000002E-2</v>
      </c>
      <c r="U27" s="16">
        <f ca="1">IFERROR(__xludf.DUMMYFUNCTION("""COMPUTED_VALUE"""),4)</f>
        <v>4</v>
      </c>
      <c r="V27" s="16">
        <f ca="1">IFERROR(__xludf.DUMMYFUNCTION("""COMPUTED_VALUE"""),57)</f>
        <v>57</v>
      </c>
      <c r="W27" s="23">
        <f ca="1">IFERROR(__xludf.DUMMYFUNCTION("""COMPUTED_VALUE"""),0.0474537037037037)</f>
        <v>4.7453703703703699E-2</v>
      </c>
      <c r="X27" s="16">
        <f ca="1">IFERROR(__xludf.DUMMYFUNCTION("""COMPUTED_VALUE"""),3)</f>
        <v>3</v>
      </c>
      <c r="Y27" s="16">
        <f ca="1">IFERROR(__xludf.DUMMYFUNCTION("""COMPUTED_VALUE"""),58)</f>
        <v>58</v>
      </c>
      <c r="Z27" s="16">
        <f ca="1">IFERROR(__xludf.DUMMYFUNCTION("""COMPUTED_VALUE"""),1)</f>
        <v>1</v>
      </c>
      <c r="AA27" s="16">
        <f ca="1">IFERROR(__xludf.DUMMYFUNCTION("""COMPUTED_VALUE"""),0)</f>
        <v>0</v>
      </c>
      <c r="AB27" s="16">
        <f ca="1">IFERROR(__xludf.DUMMYFUNCTION("""COMPUTED_VALUE"""),0)</f>
        <v>0</v>
      </c>
      <c r="AC27" s="16">
        <f ca="1">IFERROR(__xludf.DUMMYFUNCTION("""COMPUTED_VALUE"""),0)</f>
        <v>0</v>
      </c>
      <c r="AD27" s="16">
        <f ca="1">IFERROR(__xludf.DUMMYFUNCTION("""COMPUTED_VALUE"""),0)</f>
        <v>0</v>
      </c>
      <c r="AE27" s="16">
        <f ca="1">IFERROR(__xludf.DUMMYFUNCTION("""COMPUTED_VALUE"""),0)</f>
        <v>0</v>
      </c>
      <c r="AF27" s="16" t="str">
        <f ca="1">IFERROR(__xludf.DUMMYFUNCTION("""COMPUTED_VALUE"""),"")</f>
        <v/>
      </c>
      <c r="AG27" s="16">
        <f ca="1">IFERROR(__xludf.DUMMYFUNCTION("""COMPUTED_VALUE"""),0)</f>
        <v>0</v>
      </c>
      <c r="AH27" s="16">
        <f ca="1">IFERROR(__xludf.DUMMYFUNCTION("""COMPUTED_VALUE"""),0)</f>
        <v>0</v>
      </c>
      <c r="AI27" s="16" t="str">
        <f ca="1">IFERROR(__xludf.DUMMYFUNCTION("""COMPUTED_VALUE"""),"")</f>
        <v/>
      </c>
      <c r="AJ27" s="16" t="str">
        <f ca="1">IFERROR(__xludf.DUMMYFUNCTION("""COMPUTED_VALUE"""),"First E6 25 mile TT")</f>
        <v>First E6 25 mile TT</v>
      </c>
      <c r="AK27" s="16" t="str">
        <f ca="1">IFERROR(__xludf.DUMMYFUNCTION("""COMPUTED_VALUE"""),"")</f>
        <v/>
      </c>
      <c r="AL27" s="16" t="str">
        <f ca="1">IFERROR(__xludf.DUMMYFUNCTION("""COMPUTED_VALUE"""),"")</f>
        <v/>
      </c>
      <c r="AM27" s="16" t="str">
        <f ca="1">IFERROR(__xludf.DUMMYFUNCTION("""COMPUTED_VALUE"""),"")</f>
        <v/>
      </c>
      <c r="AN27" s="24" t="str">
        <f ca="1">IFERROR(__xludf.DUMMYFUNCTION("""COMPUTED_VALUE"""),"")</f>
        <v/>
      </c>
    </row>
    <row r="28" spans="1:40" x14ac:dyDescent="0.2">
      <c r="A28" s="20">
        <f ca="1">IF($H28="","",IF(ISERROR(MATCH($O28,Lge_Scratch!$B:$B,0)),1,0))</f>
        <v>0</v>
      </c>
      <c r="B28" s="20">
        <f ca="1">IF($H28="","",IF(AND($AG28&gt;0,ISERROR(MATCH($O28,Lge_NonAero!$B:$B,0))),1,0))</f>
        <v>0</v>
      </c>
      <c r="C28" s="20">
        <f ca="1">IF($H28="","",IF(ISERROR(MATCH($O28,Lge_Handicap!$B:$B,0)),1,0))</f>
        <v>0</v>
      </c>
      <c r="D28" s="20">
        <f ca="1">IF($H28="","",IF(AND(LEFT($P28,3)="Wom",ISERROR(MATCH($O28,Lge_Womens!$B:$B,0))),1,0))</f>
        <v>0</v>
      </c>
      <c r="E28" s="20">
        <f ca="1">IF($H28="","",IF(AND(OR($P28="Vet",$P28="Woman Vet"),ISERROR(MATCH($O28,Lge_Veterans!$B:$B,0))),1,0))</f>
        <v>0</v>
      </c>
      <c r="F28" s="20">
        <f ca="1">IF($H28="","",IF(AND(OR($P28="Junior",$P28="Youth"),ISERROR(MATCH($O28,Lge_Junior!$B:$B,0))),1,0))</f>
        <v>0</v>
      </c>
      <c r="G28" s="20">
        <f ca="1">IF($H28="","",IF(AND($P28="Youth",ISERROR(MATCH($O28,Lge_Youth!$B:$B,0))),1,0))</f>
        <v>0</v>
      </c>
      <c r="H28" s="16" t="str">
        <f ca="1">IFERROR(__xludf.DUMMYFUNCTION("""COMPUTED_VALUE"""),"45802_Sunday League_25")</f>
        <v>45802_Sunday League_25</v>
      </c>
      <c r="I28" s="16" t="str">
        <f ca="1">IFERROR(__xludf.DUMMYFUNCTION("""COMPUTED_VALUE"""),"45802_Sunday League_25_1")</f>
        <v>45802_Sunday League_25_1</v>
      </c>
      <c r="J28" s="16">
        <f ca="1">IFERROR(__xludf.DUMMYFUNCTION("""COMPUTED_VALUE"""),8)</f>
        <v>8</v>
      </c>
      <c r="K28" s="16" t="str">
        <f ca="1">IFERROR(__xludf.DUMMYFUNCTION("""COMPUTED_VALUE"""),"Sunday League")</f>
        <v>Sunday League</v>
      </c>
      <c r="L28" s="22">
        <f ca="1">IFERROR(__xludf.DUMMYFUNCTION("""COMPUTED_VALUE"""),45802)</f>
        <v>45802</v>
      </c>
      <c r="M28" s="16">
        <f ca="1">IFERROR(__xludf.DUMMYFUNCTION("""COMPUTED_VALUE"""),25)</f>
        <v>25</v>
      </c>
      <c r="N28" s="16">
        <f ca="1">IFERROR(__xludf.DUMMYFUNCTION("""COMPUTED_VALUE"""),1)</f>
        <v>1</v>
      </c>
      <c r="O28" s="16" t="str">
        <f ca="1">IFERROR(__xludf.DUMMYFUNCTION("""COMPUTED_VALUE"""),"Henry O'Kill")</f>
        <v>Henry O'Kill</v>
      </c>
      <c r="P28" s="16" t="str">
        <f ca="1">IFERROR(__xludf.DUMMYFUNCTION("""COMPUTED_VALUE"""),"Senior")</f>
        <v>Senior</v>
      </c>
      <c r="Q28" s="23">
        <f ca="1">IFERROR(__xludf.DUMMYFUNCTION("""COMPUTED_VALUE"""),0.0389930555555555)</f>
        <v>3.8993055555555503E-2</v>
      </c>
      <c r="R28" s="16" t="str">
        <f ca="1">IFERROR(__xludf.DUMMYFUNCTION("""COMPUTED_VALUE"""),"PB")</f>
        <v>PB</v>
      </c>
      <c r="S28" s="16">
        <f ca="1">IFERROR(__xludf.DUMMYFUNCTION("""COMPUTED_VALUE"""),60)</f>
        <v>60</v>
      </c>
      <c r="T28" s="23">
        <f ca="1">IFERROR(__xludf.DUMMYFUNCTION("""COMPUTED_VALUE"""),0.029815)</f>
        <v>2.9815000000000001E-2</v>
      </c>
      <c r="U28" s="16">
        <f ca="1">IFERROR(__xludf.DUMMYFUNCTION("""COMPUTED_VALUE"""),1)</f>
        <v>1</v>
      </c>
      <c r="V28" s="16">
        <f ca="1">IFERROR(__xludf.DUMMYFUNCTION("""COMPUTED_VALUE"""),60)</f>
        <v>60</v>
      </c>
      <c r="W28" s="23">
        <f ca="1">IFERROR(__xludf.DUMMYFUNCTION("""COMPUTED_VALUE"""),0)</f>
        <v>0</v>
      </c>
      <c r="X28" s="16">
        <f ca="1">IFERROR(__xludf.DUMMYFUNCTION("""COMPUTED_VALUE"""),0)</f>
        <v>0</v>
      </c>
      <c r="Y28" s="16">
        <f ca="1">IFERROR(__xludf.DUMMYFUNCTION("""COMPUTED_VALUE"""),0)</f>
        <v>0</v>
      </c>
      <c r="Z28" s="16">
        <f ca="1">IFERROR(__xludf.DUMMYFUNCTION("""COMPUTED_VALUE"""),0)</f>
        <v>0</v>
      </c>
      <c r="AA28" s="16">
        <f ca="1">IFERROR(__xludf.DUMMYFUNCTION("""COMPUTED_VALUE"""),0)</f>
        <v>0</v>
      </c>
      <c r="AB28" s="16">
        <f ca="1">IFERROR(__xludf.DUMMYFUNCTION("""COMPUTED_VALUE"""),0)</f>
        <v>0</v>
      </c>
      <c r="AC28" s="16">
        <f ca="1">IFERROR(__xludf.DUMMYFUNCTION("""COMPUTED_VALUE"""),0)</f>
        <v>0</v>
      </c>
      <c r="AD28" s="16">
        <f ca="1">IFERROR(__xludf.DUMMYFUNCTION("""COMPUTED_VALUE"""),0)</f>
        <v>0</v>
      </c>
      <c r="AE28" s="16">
        <f ca="1">IFERROR(__xludf.DUMMYFUNCTION("""COMPUTED_VALUE"""),0)</f>
        <v>0</v>
      </c>
      <c r="AF28" s="16" t="str">
        <f ca="1">IFERROR(__xludf.DUMMYFUNCTION("""COMPUTED_VALUE"""),"")</f>
        <v/>
      </c>
      <c r="AG28" s="16">
        <f ca="1">IFERROR(__xludf.DUMMYFUNCTION("""COMPUTED_VALUE"""),0)</f>
        <v>0</v>
      </c>
      <c r="AH28" s="16">
        <f ca="1">IFERROR(__xludf.DUMMYFUNCTION("""COMPUTED_VALUE"""),0)</f>
        <v>0</v>
      </c>
      <c r="AI28" s="16" t="str">
        <f ca="1">IFERROR(__xludf.DUMMYFUNCTION("""COMPUTED_VALUE"""),"")</f>
        <v/>
      </c>
      <c r="AJ28" s="16" t="str">
        <f ca="1">IFERROR(__xludf.DUMMYFUNCTION("""COMPUTED_VALUE"""),"")</f>
        <v/>
      </c>
      <c r="AK28" s="16" t="str">
        <f ca="1">IFERROR(__xludf.DUMMYFUNCTION("""COMPUTED_VALUE"""),"PB")</f>
        <v>PB</v>
      </c>
      <c r="AL28" s="16" t="str">
        <f ca="1">IFERROR(__xludf.DUMMYFUNCTION("""COMPUTED_VALUE"""),"")</f>
        <v/>
      </c>
      <c r="AM28" s="16" t="str">
        <f ca="1">IFERROR(__xludf.DUMMYFUNCTION("""COMPUTED_VALUE"""),"")</f>
        <v/>
      </c>
      <c r="AN28" s="24" t="str">
        <f ca="1">IFERROR(__xludf.DUMMYFUNCTION("""COMPUTED_VALUE"""),"")</f>
        <v/>
      </c>
    </row>
    <row r="29" spans="1:40" x14ac:dyDescent="0.2">
      <c r="A29" s="20">
        <f ca="1">IF($H29="","",IF(ISERROR(MATCH($O29,Lge_Scratch!$B:$B,0)),1,0))</f>
        <v>0</v>
      </c>
      <c r="B29" s="20">
        <f ca="1">IF($H29="","",IF(AND($AG29&gt;0,ISERROR(MATCH($O29,Lge_NonAero!$B:$B,0))),1,0))</f>
        <v>0</v>
      </c>
      <c r="C29" s="20">
        <f ca="1">IF($H29="","",IF(ISERROR(MATCH($O29,Lge_Handicap!$B:$B,0)),1,0))</f>
        <v>0</v>
      </c>
      <c r="D29" s="20">
        <f ca="1">IF($H29="","",IF(AND(LEFT($P29,3)="Wom",ISERROR(MATCH($O29,Lge_Womens!$B:$B,0))),1,0))</f>
        <v>0</v>
      </c>
      <c r="E29" s="20">
        <f ca="1">IF($H29="","",IF(AND(OR($P29="Vet",$P29="Woman Vet"),ISERROR(MATCH($O29,Lge_Veterans!$B:$B,0))),1,0))</f>
        <v>0</v>
      </c>
      <c r="F29" s="20">
        <f ca="1">IF($H29="","",IF(AND(OR($P29="Junior",$P29="Youth"),ISERROR(MATCH($O29,Lge_Junior!$B:$B,0))),1,0))</f>
        <v>0</v>
      </c>
      <c r="G29" s="20">
        <f ca="1">IF($H29="","",IF(AND($P29="Youth",ISERROR(MATCH($O29,Lge_Youth!$B:$B,0))),1,0))</f>
        <v>0</v>
      </c>
      <c r="H29" s="16" t="str">
        <f ca="1">IFERROR(__xludf.DUMMYFUNCTION("""COMPUTED_VALUE"""),"45802_Sunday League_25")</f>
        <v>45802_Sunday League_25</v>
      </c>
      <c r="I29" s="16" t="str">
        <f ca="1">IFERROR(__xludf.DUMMYFUNCTION("""COMPUTED_VALUE"""),"45802_Sunday League_25_2")</f>
        <v>45802_Sunday League_25_2</v>
      </c>
      <c r="J29" s="16">
        <f ca="1">IFERROR(__xludf.DUMMYFUNCTION("""COMPUTED_VALUE"""),8)</f>
        <v>8</v>
      </c>
      <c r="K29" s="16" t="str">
        <f ca="1">IFERROR(__xludf.DUMMYFUNCTION("""COMPUTED_VALUE"""),"Sunday League")</f>
        <v>Sunday League</v>
      </c>
      <c r="L29" s="22">
        <f ca="1">IFERROR(__xludf.DUMMYFUNCTION("""COMPUTED_VALUE"""),45802)</f>
        <v>45802</v>
      </c>
      <c r="M29" s="16">
        <f ca="1">IFERROR(__xludf.DUMMYFUNCTION("""COMPUTED_VALUE"""),25)</f>
        <v>25</v>
      </c>
      <c r="N29" s="16">
        <f ca="1">IFERROR(__xludf.DUMMYFUNCTION("""COMPUTED_VALUE"""),2)</f>
        <v>2</v>
      </c>
      <c r="O29" s="16" t="str">
        <f ca="1">IFERROR(__xludf.DUMMYFUNCTION("""COMPUTED_VALUE"""),"David Pennington")</f>
        <v>David Pennington</v>
      </c>
      <c r="P29" s="16" t="str">
        <f ca="1">IFERROR(__xludf.DUMMYFUNCTION("""COMPUTED_VALUE"""),"Senior")</f>
        <v>Senior</v>
      </c>
      <c r="Q29" s="23">
        <f ca="1">IFERROR(__xludf.DUMMYFUNCTION("""COMPUTED_VALUE"""),0.039699074074074)</f>
        <v>3.9699074074073998E-2</v>
      </c>
      <c r="R29" s="16" t="str">
        <f ca="1">IFERROR(__xludf.DUMMYFUNCTION("""COMPUTED_VALUE"""),"")</f>
        <v/>
      </c>
      <c r="S29" s="16">
        <f ca="1">IFERROR(__xludf.DUMMYFUNCTION("""COMPUTED_VALUE"""),59)</f>
        <v>59</v>
      </c>
      <c r="T29" s="23">
        <f ca="1">IFERROR(__xludf.DUMMYFUNCTION("""COMPUTED_VALUE"""),0.030521)</f>
        <v>3.0521E-2</v>
      </c>
      <c r="U29" s="16">
        <f ca="1">IFERROR(__xludf.DUMMYFUNCTION("""COMPUTED_VALUE"""),5)</f>
        <v>5</v>
      </c>
      <c r="V29" s="16">
        <f ca="1">IFERROR(__xludf.DUMMYFUNCTION("""COMPUTED_VALUE"""),56)</f>
        <v>56</v>
      </c>
      <c r="W29" s="23">
        <f ca="1">IFERROR(__xludf.DUMMYFUNCTION("""COMPUTED_VALUE"""),0)</f>
        <v>0</v>
      </c>
      <c r="X29" s="16">
        <f ca="1">IFERROR(__xludf.DUMMYFUNCTION("""COMPUTED_VALUE"""),0)</f>
        <v>0</v>
      </c>
      <c r="Y29" s="16">
        <f ca="1">IFERROR(__xludf.DUMMYFUNCTION("""COMPUTED_VALUE"""),0)</f>
        <v>0</v>
      </c>
      <c r="Z29" s="16">
        <f ca="1">IFERROR(__xludf.DUMMYFUNCTION("""COMPUTED_VALUE"""),0)</f>
        <v>0</v>
      </c>
      <c r="AA29" s="16">
        <f ca="1">IFERROR(__xludf.DUMMYFUNCTION("""COMPUTED_VALUE"""),0)</f>
        <v>0</v>
      </c>
      <c r="AB29" s="16">
        <f ca="1">IFERROR(__xludf.DUMMYFUNCTION("""COMPUTED_VALUE"""),0)</f>
        <v>0</v>
      </c>
      <c r="AC29" s="16">
        <f ca="1">IFERROR(__xludf.DUMMYFUNCTION("""COMPUTED_VALUE"""),0)</f>
        <v>0</v>
      </c>
      <c r="AD29" s="16">
        <f ca="1">IFERROR(__xludf.DUMMYFUNCTION("""COMPUTED_VALUE"""),0)</f>
        <v>0</v>
      </c>
      <c r="AE29" s="16">
        <f ca="1">IFERROR(__xludf.DUMMYFUNCTION("""COMPUTED_VALUE"""),0)</f>
        <v>0</v>
      </c>
      <c r="AF29" s="16" t="str">
        <f ca="1">IFERROR(__xludf.DUMMYFUNCTION("""COMPUTED_VALUE"""),"")</f>
        <v/>
      </c>
      <c r="AG29" s="16">
        <f ca="1">IFERROR(__xludf.DUMMYFUNCTION("""COMPUTED_VALUE"""),0)</f>
        <v>0</v>
      </c>
      <c r="AH29" s="16">
        <f ca="1">IFERROR(__xludf.DUMMYFUNCTION("""COMPUTED_VALUE"""),0)</f>
        <v>0</v>
      </c>
      <c r="AI29" s="16" t="str">
        <f ca="1">IFERROR(__xludf.DUMMYFUNCTION("""COMPUTED_VALUE"""),"")</f>
        <v/>
      </c>
      <c r="AJ29" s="16" t="str">
        <f ca="1">IFERROR(__xludf.DUMMYFUNCTION("""COMPUTED_VALUE"""),"")</f>
        <v/>
      </c>
      <c r="AK29" s="16" t="str">
        <f ca="1">IFERROR(__xludf.DUMMYFUNCTION("""COMPUTED_VALUE"""),"")</f>
        <v/>
      </c>
      <c r="AL29" s="16" t="str">
        <f ca="1">IFERROR(__xludf.DUMMYFUNCTION("""COMPUTED_VALUE"""),"")</f>
        <v/>
      </c>
      <c r="AM29" s="16" t="str">
        <f ca="1">IFERROR(__xludf.DUMMYFUNCTION("""COMPUTED_VALUE"""),"")</f>
        <v/>
      </c>
      <c r="AN29" s="24" t="str">
        <f ca="1">IFERROR(__xludf.DUMMYFUNCTION("""COMPUTED_VALUE"""),"")</f>
        <v/>
      </c>
    </row>
    <row r="30" spans="1:40" x14ac:dyDescent="0.2">
      <c r="A30" s="20">
        <f ca="1">IF($H30="","",IF(ISERROR(MATCH($O30,Lge_Scratch!$B:$B,0)),1,0))</f>
        <v>0</v>
      </c>
      <c r="B30" s="20">
        <f ca="1">IF($H30="","",IF(AND($AG30&gt;0,ISERROR(MATCH($O30,Lge_NonAero!$B:$B,0))),1,0))</f>
        <v>0</v>
      </c>
      <c r="C30" s="20">
        <f ca="1">IF($H30="","",IF(ISERROR(MATCH($O30,Lge_Handicap!$B:$B,0)),1,0))</f>
        <v>0</v>
      </c>
      <c r="D30" s="20">
        <f ca="1">IF($H30="","",IF(AND(LEFT($P30,3)="Wom",ISERROR(MATCH($O30,Lge_Womens!$B:$B,0))),1,0))</f>
        <v>0</v>
      </c>
      <c r="E30" s="20">
        <f ca="1">IF($H30="","",IF(AND(OR($P30="Vet",$P30="Woman Vet"),ISERROR(MATCH($O30,Lge_Veterans!$B:$B,0))),1,0))</f>
        <v>0</v>
      </c>
      <c r="F30" s="20">
        <f ca="1">IF($H30="","",IF(AND(OR($P30="Junior",$P30="Youth"),ISERROR(MATCH($O30,Lge_Junior!$B:$B,0))),1,0))</f>
        <v>0</v>
      </c>
      <c r="G30" s="20">
        <f ca="1">IF($H30="","",IF(AND($P30="Youth",ISERROR(MATCH($O30,Lge_Youth!$B:$B,0))),1,0))</f>
        <v>0</v>
      </c>
      <c r="H30" s="16" t="str">
        <f ca="1">IFERROR(__xludf.DUMMYFUNCTION("""COMPUTED_VALUE"""),"45802_Sunday League_25")</f>
        <v>45802_Sunday League_25</v>
      </c>
      <c r="I30" s="16" t="str">
        <f ca="1">IFERROR(__xludf.DUMMYFUNCTION("""COMPUTED_VALUE"""),"45802_Sunday League_25_3")</f>
        <v>45802_Sunday League_25_3</v>
      </c>
      <c r="J30" s="16">
        <f ca="1">IFERROR(__xludf.DUMMYFUNCTION("""COMPUTED_VALUE"""),8)</f>
        <v>8</v>
      </c>
      <c r="K30" s="16" t="str">
        <f ca="1">IFERROR(__xludf.DUMMYFUNCTION("""COMPUTED_VALUE"""),"Sunday League")</f>
        <v>Sunday League</v>
      </c>
      <c r="L30" s="22">
        <f ca="1">IFERROR(__xludf.DUMMYFUNCTION("""COMPUTED_VALUE"""),45802)</f>
        <v>45802</v>
      </c>
      <c r="M30" s="16">
        <f ca="1">IFERROR(__xludf.DUMMYFUNCTION("""COMPUTED_VALUE"""),25)</f>
        <v>25</v>
      </c>
      <c r="N30" s="16">
        <f ca="1">IFERROR(__xludf.DUMMYFUNCTION("""COMPUTED_VALUE"""),3)</f>
        <v>3</v>
      </c>
      <c r="O30" s="16" t="str">
        <f ca="1">IFERROR(__xludf.DUMMYFUNCTION("""COMPUTED_VALUE"""),"Philip Brant")</f>
        <v>Philip Brant</v>
      </c>
      <c r="P30" s="16" t="str">
        <f ca="1">IFERROR(__xludf.DUMMYFUNCTION("""COMPUTED_VALUE"""),"Vet")</f>
        <v>Vet</v>
      </c>
      <c r="Q30" s="23">
        <f ca="1">IFERROR(__xludf.DUMMYFUNCTION("""COMPUTED_VALUE"""),0.0449884259259259)</f>
        <v>4.4988425925925897E-2</v>
      </c>
      <c r="R30" s="16" t="str">
        <f ca="1">IFERROR(__xludf.DUMMYFUNCTION("""COMPUTED_VALUE"""),"First E21 25 mile TT PB")</f>
        <v>First E21 25 mile TT PB</v>
      </c>
      <c r="S30" s="16">
        <f ca="1">IFERROR(__xludf.DUMMYFUNCTION("""COMPUTED_VALUE"""),58)</f>
        <v>58</v>
      </c>
      <c r="T30" s="23">
        <f ca="1">IFERROR(__xludf.DUMMYFUNCTION("""COMPUTED_VALUE"""),0.03022)</f>
        <v>3.022E-2</v>
      </c>
      <c r="U30" s="16">
        <f ca="1">IFERROR(__xludf.DUMMYFUNCTION("""COMPUTED_VALUE"""),2)</f>
        <v>2</v>
      </c>
      <c r="V30" s="16">
        <f ca="1">IFERROR(__xludf.DUMMYFUNCTION("""COMPUTED_VALUE"""),59)</f>
        <v>59</v>
      </c>
      <c r="W30" s="23">
        <f ca="1">IFERROR(__xludf.DUMMYFUNCTION("""COMPUTED_VALUE"""),0.0382638888888888)</f>
        <v>3.8263888888888799E-2</v>
      </c>
      <c r="X30" s="16">
        <f ca="1">IFERROR(__xludf.DUMMYFUNCTION("""COMPUTED_VALUE"""),1)</f>
        <v>1</v>
      </c>
      <c r="Y30" s="16">
        <f ca="1">IFERROR(__xludf.DUMMYFUNCTION("""COMPUTED_VALUE"""),60)</f>
        <v>60</v>
      </c>
      <c r="Z30" s="16">
        <f ca="1">IFERROR(__xludf.DUMMYFUNCTION("""COMPUTED_VALUE"""),0)</f>
        <v>0</v>
      </c>
      <c r="AA30" s="16">
        <f ca="1">IFERROR(__xludf.DUMMYFUNCTION("""COMPUTED_VALUE"""),0)</f>
        <v>0</v>
      </c>
      <c r="AB30" s="16">
        <f ca="1">IFERROR(__xludf.DUMMYFUNCTION("""COMPUTED_VALUE"""),0)</f>
        <v>0</v>
      </c>
      <c r="AC30" s="16">
        <f ca="1">IFERROR(__xludf.DUMMYFUNCTION("""COMPUTED_VALUE"""),0)</f>
        <v>0</v>
      </c>
      <c r="AD30" s="16">
        <f ca="1">IFERROR(__xludf.DUMMYFUNCTION("""COMPUTED_VALUE"""),0)</f>
        <v>0</v>
      </c>
      <c r="AE30" s="16">
        <f ca="1">IFERROR(__xludf.DUMMYFUNCTION("""COMPUTED_VALUE"""),0)</f>
        <v>0</v>
      </c>
      <c r="AF30" s="16" t="str">
        <f ca="1">IFERROR(__xludf.DUMMYFUNCTION("""COMPUTED_VALUE"""),"")</f>
        <v/>
      </c>
      <c r="AG30" s="16">
        <f ca="1">IFERROR(__xludf.DUMMYFUNCTION("""COMPUTED_VALUE"""),0)</f>
        <v>0</v>
      </c>
      <c r="AH30" s="16">
        <f ca="1">IFERROR(__xludf.DUMMYFUNCTION("""COMPUTED_VALUE"""),0)</f>
        <v>0</v>
      </c>
      <c r="AI30" s="16" t="str">
        <f ca="1">IFERROR(__xludf.DUMMYFUNCTION("""COMPUTED_VALUE"""),"")</f>
        <v/>
      </c>
      <c r="AJ30" s="16" t="str">
        <f ca="1">IFERROR(__xludf.DUMMYFUNCTION("""COMPUTED_VALUE"""),"First E21 25 mile TT")</f>
        <v>First E21 25 mile TT</v>
      </c>
      <c r="AK30" s="16" t="str">
        <f ca="1">IFERROR(__xludf.DUMMYFUNCTION("""COMPUTED_VALUE"""),"PB")</f>
        <v>PB</v>
      </c>
      <c r="AL30" s="16" t="str">
        <f ca="1">IFERROR(__xludf.DUMMYFUNCTION("""COMPUTED_VALUE"""),"")</f>
        <v/>
      </c>
      <c r="AM30" s="16" t="str">
        <f ca="1">IFERROR(__xludf.DUMMYFUNCTION("""COMPUTED_VALUE"""),"")</f>
        <v/>
      </c>
      <c r="AN30" s="24" t="str">
        <f ca="1">IFERROR(__xludf.DUMMYFUNCTION("""COMPUTED_VALUE"""),"")</f>
        <v/>
      </c>
    </row>
    <row r="31" spans="1:40" x14ac:dyDescent="0.2">
      <c r="A31" s="20">
        <f ca="1">IF($H31="","",IF(ISERROR(MATCH($O31,Lge_Scratch!$B:$B,0)),1,0))</f>
        <v>0</v>
      </c>
      <c r="B31" s="20">
        <f ca="1">IF($H31="","",IF(AND($AG31&gt;0,ISERROR(MATCH($O31,Lge_NonAero!$B:$B,0))),1,0))</f>
        <v>0</v>
      </c>
      <c r="C31" s="20">
        <f ca="1">IF($H31="","",IF(ISERROR(MATCH($O31,Lge_Handicap!$B:$B,0)),1,0))</f>
        <v>0</v>
      </c>
      <c r="D31" s="20">
        <f ca="1">IF($H31="","",IF(AND(LEFT($P31,3)="Wom",ISERROR(MATCH($O31,Lge_Womens!$B:$B,0))),1,0))</f>
        <v>0</v>
      </c>
      <c r="E31" s="20">
        <f ca="1">IF($H31="","",IF(AND(OR($P31="Vet",$P31="Woman Vet"),ISERROR(MATCH($O31,Lge_Veterans!$B:$B,0))),1,0))</f>
        <v>0</v>
      </c>
      <c r="F31" s="20">
        <f ca="1">IF($H31="","",IF(AND(OR($P31="Junior",$P31="Youth"),ISERROR(MATCH($O31,Lge_Junior!$B:$B,0))),1,0))</f>
        <v>0</v>
      </c>
      <c r="G31" s="20">
        <f ca="1">IF($H31="","",IF(AND($P31="Youth",ISERROR(MATCH($O31,Lge_Youth!$B:$B,0))),1,0))</f>
        <v>0</v>
      </c>
      <c r="H31" s="16" t="str">
        <f ca="1">IFERROR(__xludf.DUMMYFUNCTION("""COMPUTED_VALUE"""),"45802_Sunday League_25")</f>
        <v>45802_Sunday League_25</v>
      </c>
      <c r="I31" s="16" t="str">
        <f ca="1">IFERROR(__xludf.DUMMYFUNCTION("""COMPUTED_VALUE"""),"45802_Sunday League_25_4")</f>
        <v>45802_Sunday League_25_4</v>
      </c>
      <c r="J31" s="16">
        <f ca="1">IFERROR(__xludf.DUMMYFUNCTION("""COMPUTED_VALUE"""),8)</f>
        <v>8</v>
      </c>
      <c r="K31" s="16" t="str">
        <f ca="1">IFERROR(__xludf.DUMMYFUNCTION("""COMPUTED_VALUE"""),"Sunday League")</f>
        <v>Sunday League</v>
      </c>
      <c r="L31" s="22">
        <f ca="1">IFERROR(__xludf.DUMMYFUNCTION("""COMPUTED_VALUE"""),45802)</f>
        <v>45802</v>
      </c>
      <c r="M31" s="16">
        <f ca="1">IFERROR(__xludf.DUMMYFUNCTION("""COMPUTED_VALUE"""),25)</f>
        <v>25</v>
      </c>
      <c r="N31" s="16">
        <f ca="1">IFERROR(__xludf.DUMMYFUNCTION("""COMPUTED_VALUE"""),4)</f>
        <v>4</v>
      </c>
      <c r="O31" s="16" t="str">
        <f ca="1">IFERROR(__xludf.DUMMYFUNCTION("""COMPUTED_VALUE"""),"Marc Brant")</f>
        <v>Marc Brant</v>
      </c>
      <c r="P31" s="16" t="str">
        <f ca="1">IFERROR(__xludf.DUMMYFUNCTION("""COMPUTED_VALUE"""),"Vet")</f>
        <v>Vet</v>
      </c>
      <c r="Q31" s="23">
        <f ca="1">IFERROR(__xludf.DUMMYFUNCTION("""COMPUTED_VALUE"""),0.0455787037037037)</f>
        <v>4.5578703703703698E-2</v>
      </c>
      <c r="R31" s="16" t="str">
        <f ca="1">IFERROR(__xludf.DUMMYFUNCTION("""COMPUTED_VALUE"""),"First E21 25 mile TT PB")</f>
        <v>First E21 25 mile TT PB</v>
      </c>
      <c r="S31" s="16">
        <f ca="1">IFERROR(__xludf.DUMMYFUNCTION("""COMPUTED_VALUE"""),57)</f>
        <v>57</v>
      </c>
      <c r="T31" s="23">
        <f ca="1">IFERROR(__xludf.DUMMYFUNCTION("""COMPUTED_VALUE"""),0.030255)</f>
        <v>3.0255000000000001E-2</v>
      </c>
      <c r="U31" s="16">
        <f ca="1">IFERROR(__xludf.DUMMYFUNCTION("""COMPUTED_VALUE"""),3)</f>
        <v>3</v>
      </c>
      <c r="V31" s="16">
        <f ca="1">IFERROR(__xludf.DUMMYFUNCTION("""COMPUTED_VALUE"""),58)</f>
        <v>58</v>
      </c>
      <c r="W31" s="23">
        <f ca="1">IFERROR(__xludf.DUMMYFUNCTION("""COMPUTED_VALUE"""),0.0440972222222222)</f>
        <v>4.4097222222222197E-2</v>
      </c>
      <c r="X31" s="16">
        <f ca="1">IFERROR(__xludf.DUMMYFUNCTION("""COMPUTED_VALUE"""),3)</f>
        <v>3</v>
      </c>
      <c r="Y31" s="16">
        <f ca="1">IFERROR(__xludf.DUMMYFUNCTION("""COMPUTED_VALUE"""),58)</f>
        <v>58</v>
      </c>
      <c r="Z31" s="16">
        <f ca="1">IFERROR(__xludf.DUMMYFUNCTION("""COMPUTED_VALUE"""),0)</f>
        <v>0</v>
      </c>
      <c r="AA31" s="16">
        <f ca="1">IFERROR(__xludf.DUMMYFUNCTION("""COMPUTED_VALUE"""),0)</f>
        <v>0</v>
      </c>
      <c r="AB31" s="16">
        <f ca="1">IFERROR(__xludf.DUMMYFUNCTION("""COMPUTED_VALUE"""),0)</f>
        <v>0</v>
      </c>
      <c r="AC31" s="16">
        <f ca="1">IFERROR(__xludf.DUMMYFUNCTION("""COMPUTED_VALUE"""),0)</f>
        <v>0</v>
      </c>
      <c r="AD31" s="16">
        <f ca="1">IFERROR(__xludf.DUMMYFUNCTION("""COMPUTED_VALUE"""),0)</f>
        <v>0</v>
      </c>
      <c r="AE31" s="16">
        <f ca="1">IFERROR(__xludf.DUMMYFUNCTION("""COMPUTED_VALUE"""),0)</f>
        <v>0</v>
      </c>
      <c r="AF31" s="16" t="str">
        <f ca="1">IFERROR(__xludf.DUMMYFUNCTION("""COMPUTED_VALUE"""),"")</f>
        <v/>
      </c>
      <c r="AG31" s="16">
        <f ca="1">IFERROR(__xludf.DUMMYFUNCTION("""COMPUTED_VALUE"""),0)</f>
        <v>0</v>
      </c>
      <c r="AH31" s="16">
        <f ca="1">IFERROR(__xludf.DUMMYFUNCTION("""COMPUTED_VALUE"""),0)</f>
        <v>0</v>
      </c>
      <c r="AI31" s="16" t="str">
        <f ca="1">IFERROR(__xludf.DUMMYFUNCTION("""COMPUTED_VALUE"""),"")</f>
        <v/>
      </c>
      <c r="AJ31" s="16" t="str">
        <f ca="1">IFERROR(__xludf.DUMMYFUNCTION("""COMPUTED_VALUE"""),"First E21 25 mile TT")</f>
        <v>First E21 25 mile TT</v>
      </c>
      <c r="AK31" s="16" t="str">
        <f ca="1">IFERROR(__xludf.DUMMYFUNCTION("""COMPUTED_VALUE"""),"PB")</f>
        <v>PB</v>
      </c>
      <c r="AL31" s="16" t="str">
        <f ca="1">IFERROR(__xludf.DUMMYFUNCTION("""COMPUTED_VALUE"""),"")</f>
        <v/>
      </c>
      <c r="AM31" s="16" t="str">
        <f ca="1">IFERROR(__xludf.DUMMYFUNCTION("""COMPUTED_VALUE"""),"")</f>
        <v/>
      </c>
      <c r="AN31" s="24" t="str">
        <f ca="1">IFERROR(__xludf.DUMMYFUNCTION("""COMPUTED_VALUE"""),"")</f>
        <v/>
      </c>
    </row>
    <row r="32" spans="1:40" x14ac:dyDescent="0.2">
      <c r="A32" s="20">
        <f ca="1">IF($H32="","",IF(ISERROR(MATCH($O32,Lge_Scratch!$B:$B,0)),1,0))</f>
        <v>0</v>
      </c>
      <c r="B32" s="20">
        <f ca="1">IF($H32="","",IF(AND($AG32&gt;0,ISERROR(MATCH($O32,Lge_NonAero!$B:$B,0))),1,0))</f>
        <v>0</v>
      </c>
      <c r="C32" s="20">
        <f ca="1">IF($H32="","",IF(ISERROR(MATCH($O32,Lge_Handicap!$B:$B,0)),1,0))</f>
        <v>0</v>
      </c>
      <c r="D32" s="20">
        <f ca="1">IF($H32="","",IF(AND(LEFT($P32,3)="Wom",ISERROR(MATCH($O32,Lge_Womens!$B:$B,0))),1,0))</f>
        <v>0</v>
      </c>
      <c r="E32" s="20">
        <f ca="1">IF($H32="","",IF(AND(OR($P32="Vet",$P32="Woman Vet"),ISERROR(MATCH($O32,Lge_Veterans!$B:$B,0))),1,0))</f>
        <v>0</v>
      </c>
      <c r="F32" s="20">
        <f ca="1">IF($H32="","",IF(AND(OR($P32="Junior",$P32="Youth"),ISERROR(MATCH($O32,Lge_Junior!$B:$B,0))),1,0))</f>
        <v>0</v>
      </c>
      <c r="G32" s="20">
        <f ca="1">IF($H32="","",IF(AND($P32="Youth",ISERROR(MATCH($O32,Lge_Youth!$B:$B,0))),1,0))</f>
        <v>0</v>
      </c>
      <c r="H32" s="16" t="str">
        <f ca="1">IFERROR(__xludf.DUMMYFUNCTION("""COMPUTED_VALUE"""),"45802_Sunday League_25")</f>
        <v>45802_Sunday League_25</v>
      </c>
      <c r="I32" s="16" t="str">
        <f ca="1">IFERROR(__xludf.DUMMYFUNCTION("""COMPUTED_VALUE"""),"45802_Sunday League_25_5")</f>
        <v>45802_Sunday League_25_5</v>
      </c>
      <c r="J32" s="16">
        <f ca="1">IFERROR(__xludf.DUMMYFUNCTION("""COMPUTED_VALUE"""),8)</f>
        <v>8</v>
      </c>
      <c r="K32" s="16" t="str">
        <f ca="1">IFERROR(__xludf.DUMMYFUNCTION("""COMPUTED_VALUE"""),"Sunday League")</f>
        <v>Sunday League</v>
      </c>
      <c r="L32" s="22">
        <f ca="1">IFERROR(__xludf.DUMMYFUNCTION("""COMPUTED_VALUE"""),45802)</f>
        <v>45802</v>
      </c>
      <c r="M32" s="16">
        <f ca="1">IFERROR(__xludf.DUMMYFUNCTION("""COMPUTED_VALUE"""),25)</f>
        <v>25</v>
      </c>
      <c r="N32" s="16">
        <f ca="1">IFERROR(__xludf.DUMMYFUNCTION("""COMPUTED_VALUE"""),5)</f>
        <v>5</v>
      </c>
      <c r="O32" s="16" t="str">
        <f ca="1">IFERROR(__xludf.DUMMYFUNCTION("""COMPUTED_VALUE"""),"David Carey")</f>
        <v>David Carey</v>
      </c>
      <c r="P32" s="16" t="str">
        <f ca="1">IFERROR(__xludf.DUMMYFUNCTION("""COMPUTED_VALUE"""),"Vet")</f>
        <v>Vet</v>
      </c>
      <c r="Q32" s="23">
        <f ca="1">IFERROR(__xludf.DUMMYFUNCTION("""COMPUTED_VALUE"""),0.0459837962962962)</f>
        <v>4.5983796296296203E-2</v>
      </c>
      <c r="R32" s="16" t="str">
        <f ca="1">IFERROR(__xludf.DUMMYFUNCTION("""COMPUTED_VALUE"""),"")</f>
        <v/>
      </c>
      <c r="S32" s="16">
        <f ca="1">IFERROR(__xludf.DUMMYFUNCTION("""COMPUTED_VALUE"""),56)</f>
        <v>56</v>
      </c>
      <c r="T32" s="23">
        <f ca="1">IFERROR(__xludf.DUMMYFUNCTION("""COMPUTED_VALUE"""),0.030278)</f>
        <v>3.0277999999999999E-2</v>
      </c>
      <c r="U32" s="16">
        <f ca="1">IFERROR(__xludf.DUMMYFUNCTION("""COMPUTED_VALUE"""),4)</f>
        <v>4</v>
      </c>
      <c r="V32" s="16">
        <f ca="1">IFERROR(__xludf.DUMMYFUNCTION("""COMPUTED_VALUE"""),57)</f>
        <v>57</v>
      </c>
      <c r="W32" s="23">
        <f ca="1">IFERROR(__xludf.DUMMYFUNCTION("""COMPUTED_VALUE"""),0.0441319444444444)</f>
        <v>4.4131944444444397E-2</v>
      </c>
      <c r="X32" s="16">
        <f ca="1">IFERROR(__xludf.DUMMYFUNCTION("""COMPUTED_VALUE"""),4)</f>
        <v>4</v>
      </c>
      <c r="Y32" s="16">
        <f ca="1">IFERROR(__xludf.DUMMYFUNCTION("""COMPUTED_VALUE"""),57)</f>
        <v>57</v>
      </c>
      <c r="Z32" s="16">
        <f ca="1">IFERROR(__xludf.DUMMYFUNCTION("""COMPUTED_VALUE"""),0)</f>
        <v>0</v>
      </c>
      <c r="AA32" s="16">
        <f ca="1">IFERROR(__xludf.DUMMYFUNCTION("""COMPUTED_VALUE"""),0)</f>
        <v>0</v>
      </c>
      <c r="AB32" s="16">
        <f ca="1">IFERROR(__xludf.DUMMYFUNCTION("""COMPUTED_VALUE"""),0)</f>
        <v>0</v>
      </c>
      <c r="AC32" s="16">
        <f ca="1">IFERROR(__xludf.DUMMYFUNCTION("""COMPUTED_VALUE"""),0)</f>
        <v>0</v>
      </c>
      <c r="AD32" s="16">
        <f ca="1">IFERROR(__xludf.DUMMYFUNCTION("""COMPUTED_VALUE"""),0)</f>
        <v>0</v>
      </c>
      <c r="AE32" s="16">
        <f ca="1">IFERROR(__xludf.DUMMYFUNCTION("""COMPUTED_VALUE"""),0)</f>
        <v>0</v>
      </c>
      <c r="AF32" s="16" t="str">
        <f ca="1">IFERROR(__xludf.DUMMYFUNCTION("""COMPUTED_VALUE"""),"")</f>
        <v/>
      </c>
      <c r="AG32" s="16">
        <f ca="1">IFERROR(__xludf.DUMMYFUNCTION("""COMPUTED_VALUE"""),0)</f>
        <v>0</v>
      </c>
      <c r="AH32" s="16">
        <f ca="1">IFERROR(__xludf.DUMMYFUNCTION("""COMPUTED_VALUE"""),0)</f>
        <v>0</v>
      </c>
      <c r="AI32" s="16" t="str">
        <f ca="1">IFERROR(__xludf.DUMMYFUNCTION("""COMPUTED_VALUE"""),"")</f>
        <v/>
      </c>
      <c r="AJ32" s="16" t="str">
        <f ca="1">IFERROR(__xludf.DUMMYFUNCTION("""COMPUTED_VALUE"""),"")</f>
        <v/>
      </c>
      <c r="AK32" s="16" t="str">
        <f ca="1">IFERROR(__xludf.DUMMYFUNCTION("""COMPUTED_VALUE"""),"")</f>
        <v/>
      </c>
      <c r="AL32" s="16" t="str">
        <f ca="1">IFERROR(__xludf.DUMMYFUNCTION("""COMPUTED_VALUE"""),"")</f>
        <v/>
      </c>
      <c r="AM32" s="16" t="str">
        <f ca="1">IFERROR(__xludf.DUMMYFUNCTION("""COMPUTED_VALUE"""),"")</f>
        <v/>
      </c>
      <c r="AN32" s="24" t="str">
        <f ca="1">IFERROR(__xludf.DUMMYFUNCTION("""COMPUTED_VALUE"""),"")</f>
        <v/>
      </c>
    </row>
    <row r="33" spans="1:40" x14ac:dyDescent="0.2">
      <c r="A33" s="20">
        <f ca="1">IF($H33="","",IF(ISERROR(MATCH($O33,Lge_Scratch!$B:$B,0)),1,0))</f>
        <v>0</v>
      </c>
      <c r="B33" s="20">
        <f ca="1">IF($H33="","",IF(AND($AG33&gt;0,ISERROR(MATCH($O33,Lge_NonAero!$B:$B,0))),1,0))</f>
        <v>0</v>
      </c>
      <c r="C33" s="20">
        <f ca="1">IF($H33="","",IF(ISERROR(MATCH($O33,Lge_Handicap!$B:$B,0)),1,0))</f>
        <v>0</v>
      </c>
      <c r="D33" s="20">
        <f ca="1">IF($H33="","",IF(AND(LEFT($P33,3)="Wom",ISERROR(MATCH($O33,Lge_Womens!$B:$B,0))),1,0))</f>
        <v>0</v>
      </c>
      <c r="E33" s="20">
        <f ca="1">IF($H33="","",IF(AND(OR($P33="Vet",$P33="Woman Vet"),ISERROR(MATCH($O33,Lge_Veterans!$B:$B,0))),1,0))</f>
        <v>0</v>
      </c>
      <c r="F33" s="20">
        <f ca="1">IF($H33="","",IF(AND(OR($P33="Junior",$P33="Youth"),ISERROR(MATCH($O33,Lge_Junior!$B:$B,0))),1,0))</f>
        <v>0</v>
      </c>
      <c r="G33" s="20">
        <f ca="1">IF($H33="","",IF(AND($P33="Youth",ISERROR(MATCH($O33,Lge_Youth!$B:$B,0))),1,0))</f>
        <v>0</v>
      </c>
      <c r="H33" s="16" t="str">
        <f ca="1">IFERROR(__xludf.DUMMYFUNCTION("""COMPUTED_VALUE"""),"45802_Sunday League_25")</f>
        <v>45802_Sunday League_25</v>
      </c>
      <c r="I33" s="16" t="str">
        <f ca="1">IFERROR(__xludf.DUMMYFUNCTION("""COMPUTED_VALUE"""),"45802_Sunday League_25_6")</f>
        <v>45802_Sunday League_25_6</v>
      </c>
      <c r="J33" s="16">
        <f ca="1">IFERROR(__xludf.DUMMYFUNCTION("""COMPUTED_VALUE"""),8)</f>
        <v>8</v>
      </c>
      <c r="K33" s="16" t="str">
        <f ca="1">IFERROR(__xludf.DUMMYFUNCTION("""COMPUTED_VALUE"""),"Sunday League")</f>
        <v>Sunday League</v>
      </c>
      <c r="L33" s="22">
        <f ca="1">IFERROR(__xludf.DUMMYFUNCTION("""COMPUTED_VALUE"""),45802)</f>
        <v>45802</v>
      </c>
      <c r="M33" s="16">
        <f ca="1">IFERROR(__xludf.DUMMYFUNCTION("""COMPUTED_VALUE"""),25)</f>
        <v>25</v>
      </c>
      <c r="N33" s="16">
        <f ca="1">IFERROR(__xludf.DUMMYFUNCTION("""COMPUTED_VALUE"""),6)</f>
        <v>6</v>
      </c>
      <c r="O33" s="16" t="str">
        <f ca="1">IFERROR(__xludf.DUMMYFUNCTION("""COMPUTED_VALUE"""),"Jennie Pennington")</f>
        <v>Jennie Pennington</v>
      </c>
      <c r="P33" s="16" t="str">
        <f ca="1">IFERROR(__xludf.DUMMYFUNCTION("""COMPUTED_VALUE"""),"Woman Vet")</f>
        <v>Woman Vet</v>
      </c>
      <c r="Q33" s="23">
        <f ca="1">IFERROR(__xludf.DUMMYFUNCTION("""COMPUTED_VALUE"""),0.0474189814814814)</f>
        <v>4.7418981481481402E-2</v>
      </c>
      <c r="R33" s="16" t="str">
        <f ca="1">IFERROR(__xludf.DUMMYFUNCTION("""COMPUTED_VALUE"""),"First E21 25 mile TT")</f>
        <v>First E21 25 mile TT</v>
      </c>
      <c r="S33" s="16">
        <f ca="1">IFERROR(__xludf.DUMMYFUNCTION("""COMPUTED_VALUE"""),55)</f>
        <v>55</v>
      </c>
      <c r="T33" s="23">
        <f ca="1">IFERROR(__xludf.DUMMYFUNCTION("""COMPUTED_VALUE"""),0.030521)</f>
        <v>3.0521E-2</v>
      </c>
      <c r="U33" s="16">
        <f ca="1">IFERROR(__xludf.DUMMYFUNCTION("""COMPUTED_VALUE"""),5)</f>
        <v>5</v>
      </c>
      <c r="V33" s="16">
        <f ca="1">IFERROR(__xludf.DUMMYFUNCTION("""COMPUTED_VALUE"""),56)</f>
        <v>56</v>
      </c>
      <c r="W33" s="23">
        <f ca="1">IFERROR(__xludf.DUMMYFUNCTION("""COMPUTED_VALUE"""),0.0427199074074074)</f>
        <v>4.2719907407407401E-2</v>
      </c>
      <c r="X33" s="16">
        <f ca="1">IFERROR(__xludf.DUMMYFUNCTION("""COMPUTED_VALUE"""),2)</f>
        <v>2</v>
      </c>
      <c r="Y33" s="16">
        <f ca="1">IFERROR(__xludf.DUMMYFUNCTION("""COMPUTED_VALUE"""),59)</f>
        <v>59</v>
      </c>
      <c r="Z33" s="16">
        <f ca="1">IFERROR(__xludf.DUMMYFUNCTION("""COMPUTED_VALUE"""),1)</f>
        <v>1</v>
      </c>
      <c r="AA33" s="16">
        <f ca="1">IFERROR(__xludf.DUMMYFUNCTION("""COMPUTED_VALUE"""),60)</f>
        <v>60</v>
      </c>
      <c r="AB33" s="16">
        <f ca="1">IFERROR(__xludf.DUMMYFUNCTION("""COMPUTED_VALUE"""),0)</f>
        <v>0</v>
      </c>
      <c r="AC33" s="16">
        <f ca="1">IFERROR(__xludf.DUMMYFUNCTION("""COMPUTED_VALUE"""),0)</f>
        <v>0</v>
      </c>
      <c r="AD33" s="16">
        <f ca="1">IFERROR(__xludf.DUMMYFUNCTION("""COMPUTED_VALUE"""),0)</f>
        <v>0</v>
      </c>
      <c r="AE33" s="16">
        <f ca="1">IFERROR(__xludf.DUMMYFUNCTION("""COMPUTED_VALUE"""),0)</f>
        <v>0</v>
      </c>
      <c r="AF33" s="16" t="str">
        <f ca="1">IFERROR(__xludf.DUMMYFUNCTION("""COMPUTED_VALUE"""),"")</f>
        <v/>
      </c>
      <c r="AG33" s="16">
        <f ca="1">IFERROR(__xludf.DUMMYFUNCTION("""COMPUTED_VALUE"""),0)</f>
        <v>0</v>
      </c>
      <c r="AH33" s="16">
        <f ca="1">IFERROR(__xludf.DUMMYFUNCTION("""COMPUTED_VALUE"""),0)</f>
        <v>0</v>
      </c>
      <c r="AI33" s="16" t="str">
        <f ca="1">IFERROR(__xludf.DUMMYFUNCTION("""COMPUTED_VALUE"""),"")</f>
        <v/>
      </c>
      <c r="AJ33" s="16" t="str">
        <f ca="1">IFERROR(__xludf.DUMMYFUNCTION("""COMPUTED_VALUE"""),"First E21 25 mile TT")</f>
        <v>First E21 25 mile TT</v>
      </c>
      <c r="AK33" s="16" t="str">
        <f ca="1">IFERROR(__xludf.DUMMYFUNCTION("""COMPUTED_VALUE"""),"")</f>
        <v/>
      </c>
      <c r="AL33" s="16" t="str">
        <f ca="1">IFERROR(__xludf.DUMMYFUNCTION("""COMPUTED_VALUE"""),"")</f>
        <v/>
      </c>
      <c r="AM33" s="16" t="str">
        <f ca="1">IFERROR(__xludf.DUMMYFUNCTION("""COMPUTED_VALUE"""),"")</f>
        <v/>
      </c>
      <c r="AN33" s="24" t="str">
        <f ca="1">IFERROR(__xludf.DUMMYFUNCTION("""COMPUTED_VALUE"""),"")</f>
        <v/>
      </c>
    </row>
    <row r="34" spans="1:40" x14ac:dyDescent="0.2">
      <c r="A34" s="20">
        <f ca="1">IF($H34="","",IF(ISERROR(MATCH($O34,Lge_Scratch!$B:$B,0)),1,0))</f>
        <v>0</v>
      </c>
      <c r="B34" s="20">
        <f ca="1">IF($H34="","",IF(AND($AG34&gt;0,ISERROR(MATCH($O34,Lge_NonAero!$B:$B,0))),1,0))</f>
        <v>0</v>
      </c>
      <c r="C34" s="20">
        <f ca="1">IF($H34="","",IF(ISERROR(MATCH($O34,Lge_Handicap!$B:$B,0)),1,0))</f>
        <v>0</v>
      </c>
      <c r="D34" s="20">
        <f ca="1">IF($H34="","",IF(AND(LEFT($P34,3)="Wom",ISERROR(MATCH($O34,Lge_Womens!$B:$B,0))),1,0))</f>
        <v>0</v>
      </c>
      <c r="E34" s="20">
        <f ca="1">IF($H34="","",IF(AND(OR($P34="Vet",$P34="Woman Vet"),ISERROR(MATCH($O34,Lge_Veterans!$B:$B,0))),1,0))</f>
        <v>0</v>
      </c>
      <c r="F34" s="20">
        <f ca="1">IF($H34="","",IF(AND(OR($P34="Junior",$P34="Youth"),ISERROR(MATCH($O34,Lge_Junior!$B:$B,0))),1,0))</f>
        <v>0</v>
      </c>
      <c r="G34" s="20">
        <f ca="1">IF($H34="","",IF(AND($P34="Youth",ISERROR(MATCH($O34,Lge_Youth!$B:$B,0))),1,0))</f>
        <v>0</v>
      </c>
      <c r="H34" s="16" t="str">
        <f ca="1">IFERROR(__xludf.DUMMYFUNCTION("""COMPUTED_VALUE"""),"45802_Sunday League_25")</f>
        <v>45802_Sunday League_25</v>
      </c>
      <c r="I34" s="16" t="str">
        <f ca="1">IFERROR(__xludf.DUMMYFUNCTION("""COMPUTED_VALUE"""),"45802_Sunday League_25_7")</f>
        <v>45802_Sunday League_25_7</v>
      </c>
      <c r="J34" s="16">
        <f ca="1">IFERROR(__xludf.DUMMYFUNCTION("""COMPUTED_VALUE"""),8)</f>
        <v>8</v>
      </c>
      <c r="K34" s="16" t="str">
        <f ca="1">IFERROR(__xludf.DUMMYFUNCTION("""COMPUTED_VALUE"""),"Sunday League")</f>
        <v>Sunday League</v>
      </c>
      <c r="L34" s="22">
        <f ca="1">IFERROR(__xludf.DUMMYFUNCTION("""COMPUTED_VALUE"""),45802)</f>
        <v>45802</v>
      </c>
      <c r="M34" s="16">
        <f ca="1">IFERROR(__xludf.DUMMYFUNCTION("""COMPUTED_VALUE"""),25)</f>
        <v>25</v>
      </c>
      <c r="N34" s="16">
        <f ca="1">IFERROR(__xludf.DUMMYFUNCTION("""COMPUTED_VALUE"""),7)</f>
        <v>7</v>
      </c>
      <c r="O34" s="16" t="str">
        <f ca="1">IFERROR(__xludf.DUMMYFUNCTION("""COMPUTED_VALUE"""),"Paul Gribbon")</f>
        <v>Paul Gribbon</v>
      </c>
      <c r="P34" s="16" t="str">
        <f ca="1">IFERROR(__xludf.DUMMYFUNCTION("""COMPUTED_VALUE"""),"Vet")</f>
        <v>Vet</v>
      </c>
      <c r="Q34" s="23">
        <f ca="1">IFERROR(__xludf.DUMMYFUNCTION("""COMPUTED_VALUE"""),0.0480902777777777)</f>
        <v>4.8090277777777697E-2</v>
      </c>
      <c r="R34" s="16" t="str">
        <f ca="1">IFERROR(__xludf.DUMMYFUNCTION("""COMPUTED_VALUE"""),"CB")</f>
        <v>CB</v>
      </c>
      <c r="S34" s="16">
        <f ca="1">IFERROR(__xludf.DUMMYFUNCTION("""COMPUTED_VALUE"""),54)</f>
        <v>54</v>
      </c>
      <c r="T34" s="23">
        <f ca="1">IFERROR(__xludf.DUMMYFUNCTION("""COMPUTED_VALUE"""),0.032361)</f>
        <v>3.2361000000000001E-2</v>
      </c>
      <c r="U34" s="16">
        <f ca="1">IFERROR(__xludf.DUMMYFUNCTION("""COMPUTED_VALUE"""),8)</f>
        <v>8</v>
      </c>
      <c r="V34" s="16">
        <f ca="1">IFERROR(__xludf.DUMMYFUNCTION("""COMPUTED_VALUE"""),53)</f>
        <v>53</v>
      </c>
      <c r="W34" s="23">
        <f ca="1">IFERROR(__xludf.DUMMYFUNCTION("""COMPUTED_VALUE"""),0.0462384259259259)</f>
        <v>4.6238425925925898E-2</v>
      </c>
      <c r="X34" s="16">
        <f ca="1">IFERROR(__xludf.DUMMYFUNCTION("""COMPUTED_VALUE"""),5)</f>
        <v>5</v>
      </c>
      <c r="Y34" s="16">
        <f ca="1">IFERROR(__xludf.DUMMYFUNCTION("""COMPUTED_VALUE"""),56)</f>
        <v>56</v>
      </c>
      <c r="Z34" s="16">
        <f ca="1">IFERROR(__xludf.DUMMYFUNCTION("""COMPUTED_VALUE"""),1)</f>
        <v>1</v>
      </c>
      <c r="AA34" s="16">
        <f ca="1">IFERROR(__xludf.DUMMYFUNCTION("""COMPUTED_VALUE"""),0)</f>
        <v>0</v>
      </c>
      <c r="AB34" s="16">
        <f ca="1">IFERROR(__xludf.DUMMYFUNCTION("""COMPUTED_VALUE"""),0)</f>
        <v>0</v>
      </c>
      <c r="AC34" s="16">
        <f ca="1">IFERROR(__xludf.DUMMYFUNCTION("""COMPUTED_VALUE"""),0)</f>
        <v>0</v>
      </c>
      <c r="AD34" s="16">
        <f ca="1">IFERROR(__xludf.DUMMYFUNCTION("""COMPUTED_VALUE"""),0)</f>
        <v>0</v>
      </c>
      <c r="AE34" s="16">
        <f ca="1">IFERROR(__xludf.DUMMYFUNCTION("""COMPUTED_VALUE"""),0)</f>
        <v>0</v>
      </c>
      <c r="AF34" s="16" t="str">
        <f ca="1">IFERROR(__xludf.DUMMYFUNCTION("""COMPUTED_VALUE"""),"")</f>
        <v/>
      </c>
      <c r="AG34" s="16">
        <f ca="1">IFERROR(__xludf.DUMMYFUNCTION("""COMPUTED_VALUE"""),0)</f>
        <v>0</v>
      </c>
      <c r="AH34" s="16">
        <f ca="1">IFERROR(__xludf.DUMMYFUNCTION("""COMPUTED_VALUE"""),0)</f>
        <v>0</v>
      </c>
      <c r="AI34" s="16" t="str">
        <f ca="1">IFERROR(__xludf.DUMMYFUNCTION("""COMPUTED_VALUE"""),"")</f>
        <v/>
      </c>
      <c r="AJ34" s="16" t="str">
        <f ca="1">IFERROR(__xludf.DUMMYFUNCTION("""COMPUTED_VALUE"""),"")</f>
        <v/>
      </c>
      <c r="AK34" s="16" t="str">
        <f ca="1">IFERROR(__xludf.DUMMYFUNCTION("""COMPUTED_VALUE"""),"CB")</f>
        <v>CB</v>
      </c>
      <c r="AL34" s="16" t="str">
        <f ca="1">IFERROR(__xludf.DUMMYFUNCTION("""COMPUTED_VALUE"""),"")</f>
        <v/>
      </c>
      <c r="AM34" s="16" t="str">
        <f ca="1">IFERROR(__xludf.DUMMYFUNCTION("""COMPUTED_VALUE"""),"")</f>
        <v/>
      </c>
      <c r="AN34" s="24" t="str">
        <f ca="1">IFERROR(__xludf.DUMMYFUNCTION("""COMPUTED_VALUE"""),"")</f>
        <v/>
      </c>
    </row>
    <row r="35" spans="1:40" x14ac:dyDescent="0.2">
      <c r="A35" s="20">
        <f ca="1">IF($H35="","",IF(ISERROR(MATCH($O35,Lge_Scratch!$B:$B,0)),1,0))</f>
        <v>0</v>
      </c>
      <c r="B35" s="20">
        <f ca="1">IF($H35="","",IF(AND($AG35&gt;0,ISERROR(MATCH($O35,Lge_NonAero!$B:$B,0))),1,0))</f>
        <v>0</v>
      </c>
      <c r="C35" s="20">
        <f ca="1">IF($H35="","",IF(ISERROR(MATCH($O35,Lge_Handicap!$B:$B,0)),1,0))</f>
        <v>0</v>
      </c>
      <c r="D35" s="20">
        <f ca="1">IF($H35="","",IF(AND(LEFT($P35,3)="Wom",ISERROR(MATCH($O35,Lge_Womens!$B:$B,0))),1,0))</f>
        <v>0</v>
      </c>
      <c r="E35" s="20">
        <f ca="1">IF($H35="","",IF(AND(OR($P35="Vet",$P35="Woman Vet"),ISERROR(MATCH($O35,Lge_Veterans!$B:$B,0))),1,0))</f>
        <v>0</v>
      </c>
      <c r="F35" s="20">
        <f ca="1">IF($H35="","",IF(AND(OR($P35="Junior",$P35="Youth"),ISERROR(MATCH($O35,Lge_Junior!$B:$B,0))),1,0))</f>
        <v>0</v>
      </c>
      <c r="G35" s="20">
        <f ca="1">IF($H35="","",IF(AND($P35="Youth",ISERROR(MATCH($O35,Lge_Youth!$B:$B,0))),1,0))</f>
        <v>0</v>
      </c>
      <c r="H35" s="16" t="str">
        <f ca="1">IFERROR(__xludf.DUMMYFUNCTION("""COMPUTED_VALUE"""),"45802_Sunday League_25")</f>
        <v>45802_Sunday League_25</v>
      </c>
      <c r="I35" s="16" t="str">
        <f ca="1">IFERROR(__xludf.DUMMYFUNCTION("""COMPUTED_VALUE"""),"45802_Sunday League_25_8")</f>
        <v>45802_Sunday League_25_8</v>
      </c>
      <c r="J35" s="16">
        <f ca="1">IFERROR(__xludf.DUMMYFUNCTION("""COMPUTED_VALUE"""),8)</f>
        <v>8</v>
      </c>
      <c r="K35" s="16" t="str">
        <f ca="1">IFERROR(__xludf.DUMMYFUNCTION("""COMPUTED_VALUE"""),"Sunday League")</f>
        <v>Sunday League</v>
      </c>
      <c r="L35" s="22">
        <f ca="1">IFERROR(__xludf.DUMMYFUNCTION("""COMPUTED_VALUE"""),45802)</f>
        <v>45802</v>
      </c>
      <c r="M35" s="16">
        <f ca="1">IFERROR(__xludf.DUMMYFUNCTION("""COMPUTED_VALUE"""),25)</f>
        <v>25</v>
      </c>
      <c r="N35" s="16">
        <f ca="1">IFERROR(__xludf.DUMMYFUNCTION("""COMPUTED_VALUE"""),8)</f>
        <v>8</v>
      </c>
      <c r="O35" s="16" t="str">
        <f ca="1">IFERROR(__xludf.DUMMYFUNCTION("""COMPUTED_VALUE"""),"Andy Merchant")</f>
        <v>Andy Merchant</v>
      </c>
      <c r="P35" s="16" t="str">
        <f ca="1">IFERROR(__xludf.DUMMYFUNCTION("""COMPUTED_VALUE"""),"Vet")</f>
        <v>Vet</v>
      </c>
      <c r="Q35" s="23">
        <f ca="1">IFERROR(__xludf.DUMMYFUNCTION("""COMPUTED_VALUE"""),0.0500694444444444)</f>
        <v>5.0069444444444403E-2</v>
      </c>
      <c r="R35" s="16" t="str">
        <f ca="1">IFERROR(__xludf.DUMMYFUNCTION("""COMPUTED_VALUE"""),"")</f>
        <v/>
      </c>
      <c r="S35" s="16">
        <f ca="1">IFERROR(__xludf.DUMMYFUNCTION("""COMPUTED_VALUE"""),53)</f>
        <v>53</v>
      </c>
      <c r="T35" s="23">
        <f ca="1">IFERROR(__xludf.DUMMYFUNCTION("""COMPUTED_VALUE"""),0.031817)</f>
        <v>3.1816999999999998E-2</v>
      </c>
      <c r="U35" s="16">
        <f ca="1">IFERROR(__xludf.DUMMYFUNCTION("""COMPUTED_VALUE"""),7)</f>
        <v>7</v>
      </c>
      <c r="V35" s="16">
        <f ca="1">IFERROR(__xludf.DUMMYFUNCTION("""COMPUTED_VALUE"""),54)</f>
        <v>54</v>
      </c>
      <c r="W35" s="23">
        <f ca="1">IFERROR(__xludf.DUMMYFUNCTION("""COMPUTED_VALUE"""),0.0468634259259259)</f>
        <v>4.6863425925925899E-2</v>
      </c>
      <c r="X35" s="16">
        <f ca="1">IFERROR(__xludf.DUMMYFUNCTION("""COMPUTED_VALUE"""),6)</f>
        <v>6</v>
      </c>
      <c r="Y35" s="16">
        <f ca="1">IFERROR(__xludf.DUMMYFUNCTION("""COMPUTED_VALUE"""),55)</f>
        <v>55</v>
      </c>
      <c r="Z35" s="16">
        <f ca="1">IFERROR(__xludf.DUMMYFUNCTION("""COMPUTED_VALUE"""),1)</f>
        <v>1</v>
      </c>
      <c r="AA35" s="16">
        <f ca="1">IFERROR(__xludf.DUMMYFUNCTION("""COMPUTED_VALUE"""),0)</f>
        <v>0</v>
      </c>
      <c r="AB35" s="16">
        <f ca="1">IFERROR(__xludf.DUMMYFUNCTION("""COMPUTED_VALUE"""),0)</f>
        <v>0</v>
      </c>
      <c r="AC35" s="16">
        <f ca="1">IFERROR(__xludf.DUMMYFUNCTION("""COMPUTED_VALUE"""),0)</f>
        <v>0</v>
      </c>
      <c r="AD35" s="16">
        <f ca="1">IFERROR(__xludf.DUMMYFUNCTION("""COMPUTED_VALUE"""),0)</f>
        <v>0</v>
      </c>
      <c r="AE35" s="16">
        <f ca="1">IFERROR(__xludf.DUMMYFUNCTION("""COMPUTED_VALUE"""),0)</f>
        <v>0</v>
      </c>
      <c r="AF35" s="16" t="str">
        <f ca="1">IFERROR(__xludf.DUMMYFUNCTION("""COMPUTED_VALUE"""),"")</f>
        <v/>
      </c>
      <c r="AG35" s="16">
        <f ca="1">IFERROR(__xludf.DUMMYFUNCTION("""COMPUTED_VALUE"""),0)</f>
        <v>0</v>
      </c>
      <c r="AH35" s="16">
        <f ca="1">IFERROR(__xludf.DUMMYFUNCTION("""COMPUTED_VALUE"""),0)</f>
        <v>0</v>
      </c>
      <c r="AI35" s="16" t="str">
        <f ca="1">IFERROR(__xludf.DUMMYFUNCTION("""COMPUTED_VALUE"""),"")</f>
        <v/>
      </c>
      <c r="AJ35" s="16" t="str">
        <f ca="1">IFERROR(__xludf.DUMMYFUNCTION("""COMPUTED_VALUE"""),"")</f>
        <v/>
      </c>
      <c r="AK35" s="16" t="str">
        <f ca="1">IFERROR(__xludf.DUMMYFUNCTION("""COMPUTED_VALUE"""),"")</f>
        <v/>
      </c>
      <c r="AL35" s="16" t="str">
        <f ca="1">IFERROR(__xludf.DUMMYFUNCTION("""COMPUTED_VALUE"""),"")</f>
        <v/>
      </c>
      <c r="AM35" s="16" t="str">
        <f ca="1">IFERROR(__xludf.DUMMYFUNCTION("""COMPUTED_VALUE"""),"")</f>
        <v/>
      </c>
      <c r="AN35" s="24" t="str">
        <f ca="1">IFERROR(__xludf.DUMMYFUNCTION("""COMPUTED_VALUE"""),"")</f>
        <v/>
      </c>
    </row>
    <row r="36" spans="1:40" x14ac:dyDescent="0.2">
      <c r="A36" s="20">
        <f ca="1">IF($H36="","",IF(ISERROR(MATCH($O36,Lge_Scratch!$B:$B,0)),1,0))</f>
        <v>0</v>
      </c>
      <c r="B36" s="20">
        <f ca="1">IF($H36="","",IF(AND($AG36&gt;0,ISERROR(MATCH($O36,Lge_NonAero!$B:$B,0))),1,0))</f>
        <v>0</v>
      </c>
      <c r="C36" s="20">
        <f ca="1">IF($H36="","",IF(ISERROR(MATCH($O36,Lge_Handicap!$B:$B,0)),1,0))</f>
        <v>0</v>
      </c>
      <c r="D36" s="20">
        <f ca="1">IF($H36="","",IF(AND(LEFT($P36,3)="Wom",ISERROR(MATCH($O36,Lge_Womens!$B:$B,0))),1,0))</f>
        <v>0</v>
      </c>
      <c r="E36" s="20">
        <f ca="1">IF($H36="","",IF(AND(OR($P36="Vet",$P36="Woman Vet"),ISERROR(MATCH($O36,Lge_Veterans!$B:$B,0))),1,0))</f>
        <v>0</v>
      </c>
      <c r="F36" s="20">
        <f ca="1">IF($H36="","",IF(AND(OR($P36="Junior",$P36="Youth"),ISERROR(MATCH($O36,Lge_Junior!$B:$B,0))),1,0))</f>
        <v>0</v>
      </c>
      <c r="G36" s="20">
        <f ca="1">IF($H36="","",IF(AND($P36="Youth",ISERROR(MATCH($O36,Lge_Youth!$B:$B,0))),1,0))</f>
        <v>0</v>
      </c>
      <c r="H36" s="16" t="str">
        <f ca="1">IFERROR(__xludf.DUMMYFUNCTION("""COMPUTED_VALUE"""),"45809_Sunday League_10")</f>
        <v>45809_Sunday League_10</v>
      </c>
      <c r="I36" s="16" t="str">
        <f ca="1">IFERROR(__xludf.DUMMYFUNCTION("""COMPUTED_VALUE"""),"45809_Sunday League_10_1")</f>
        <v>45809_Sunday League_10_1</v>
      </c>
      <c r="J36" s="16">
        <f ca="1">IFERROR(__xludf.DUMMYFUNCTION("""COMPUTED_VALUE"""),4)</f>
        <v>4</v>
      </c>
      <c r="K36" s="16" t="str">
        <f ca="1">IFERROR(__xludf.DUMMYFUNCTION("""COMPUTED_VALUE"""),"Sunday League")</f>
        <v>Sunday League</v>
      </c>
      <c r="L36" s="22">
        <f ca="1">IFERROR(__xludf.DUMMYFUNCTION("""COMPUTED_VALUE"""),45809)</f>
        <v>45809</v>
      </c>
      <c r="M36" s="16">
        <f ca="1">IFERROR(__xludf.DUMMYFUNCTION("""COMPUTED_VALUE"""),10)</f>
        <v>10</v>
      </c>
      <c r="N36" s="16">
        <f ca="1">IFERROR(__xludf.DUMMYFUNCTION("""COMPUTED_VALUE"""),1)</f>
        <v>1</v>
      </c>
      <c r="O36" s="16" t="str">
        <f ca="1">IFERROR(__xludf.DUMMYFUNCTION("""COMPUTED_VALUE"""),"Marc Brant")</f>
        <v>Marc Brant</v>
      </c>
      <c r="P36" s="16" t="str">
        <f ca="1">IFERROR(__xludf.DUMMYFUNCTION("""COMPUTED_VALUE"""),"Vet")</f>
        <v>Vet</v>
      </c>
      <c r="Q36" s="23">
        <f ca="1">IFERROR(__xludf.DUMMYFUNCTION("""COMPUTED_VALUE"""),0.0169675925925925)</f>
        <v>1.6967592592592499E-2</v>
      </c>
      <c r="R36" s="16" t="str">
        <f ca="1">IFERROR(__xludf.DUMMYFUNCTION("""COMPUTED_VALUE"""),"CB")</f>
        <v>CB</v>
      </c>
      <c r="S36" s="16">
        <f ca="1">IFERROR(__xludf.DUMMYFUNCTION("""COMPUTED_VALUE"""),60)</f>
        <v>60</v>
      </c>
      <c r="T36" s="23">
        <f ca="1">IFERROR(__xludf.DUMMYFUNCTION("""COMPUTED_VALUE"""),0.011898)</f>
        <v>1.1898000000000001E-2</v>
      </c>
      <c r="U36" s="16">
        <f ca="1">IFERROR(__xludf.DUMMYFUNCTION("""COMPUTED_VALUE"""),2)</f>
        <v>2</v>
      </c>
      <c r="V36" s="16">
        <f ca="1">IFERROR(__xludf.DUMMYFUNCTION("""COMPUTED_VALUE"""),59)</f>
        <v>59</v>
      </c>
      <c r="W36" s="23">
        <f ca="1">IFERROR(__xludf.DUMMYFUNCTION("""COMPUTED_VALUE"""),0.0164236111111111)</f>
        <v>1.6423611111111101E-2</v>
      </c>
      <c r="X36" s="16">
        <f ca="1">IFERROR(__xludf.DUMMYFUNCTION("""COMPUTED_VALUE"""),2)</f>
        <v>2</v>
      </c>
      <c r="Y36" s="16">
        <f ca="1">IFERROR(__xludf.DUMMYFUNCTION("""COMPUTED_VALUE"""),59)</f>
        <v>59</v>
      </c>
      <c r="Z36" s="16">
        <f ca="1">IFERROR(__xludf.DUMMYFUNCTION("""COMPUTED_VALUE"""),0)</f>
        <v>0</v>
      </c>
      <c r="AA36" s="16">
        <f ca="1">IFERROR(__xludf.DUMMYFUNCTION("""COMPUTED_VALUE"""),0)</f>
        <v>0</v>
      </c>
      <c r="AB36" s="16">
        <f ca="1">IFERROR(__xludf.DUMMYFUNCTION("""COMPUTED_VALUE"""),0)</f>
        <v>0</v>
      </c>
      <c r="AC36" s="16">
        <f ca="1">IFERROR(__xludf.DUMMYFUNCTION("""COMPUTED_VALUE"""),0)</f>
        <v>0</v>
      </c>
      <c r="AD36" s="16">
        <f ca="1">IFERROR(__xludf.DUMMYFUNCTION("""COMPUTED_VALUE"""),0)</f>
        <v>0</v>
      </c>
      <c r="AE36" s="16">
        <f ca="1">IFERROR(__xludf.DUMMYFUNCTION("""COMPUTED_VALUE"""),0)</f>
        <v>0</v>
      </c>
      <c r="AF36" s="16" t="str">
        <f ca="1">IFERROR(__xludf.DUMMYFUNCTION("""COMPUTED_VALUE"""),"")</f>
        <v/>
      </c>
      <c r="AG36" s="16">
        <f ca="1">IFERROR(__xludf.DUMMYFUNCTION("""COMPUTED_VALUE"""),0)</f>
        <v>0</v>
      </c>
      <c r="AH36" s="16">
        <f ca="1">IFERROR(__xludf.DUMMYFUNCTION("""COMPUTED_VALUE"""),0)</f>
        <v>0</v>
      </c>
      <c r="AI36" s="16" t="str">
        <f ca="1">IFERROR(__xludf.DUMMYFUNCTION("""COMPUTED_VALUE"""),"")</f>
        <v/>
      </c>
      <c r="AJ36" s="16" t="str">
        <f ca="1">IFERROR(__xludf.DUMMYFUNCTION("""COMPUTED_VALUE"""),"")</f>
        <v/>
      </c>
      <c r="AK36" s="16" t="str">
        <f ca="1">IFERROR(__xludf.DUMMYFUNCTION("""COMPUTED_VALUE"""),"CB")</f>
        <v>CB</v>
      </c>
      <c r="AL36" s="16" t="str">
        <f ca="1">IFERROR(__xludf.DUMMYFUNCTION("""COMPUTED_VALUE"""),"")</f>
        <v/>
      </c>
      <c r="AM36" s="16" t="str">
        <f ca="1">IFERROR(__xludf.DUMMYFUNCTION("""COMPUTED_VALUE"""),"")</f>
        <v/>
      </c>
      <c r="AN36" s="24" t="str">
        <f ca="1">IFERROR(__xludf.DUMMYFUNCTION("""COMPUTED_VALUE"""),"")</f>
        <v/>
      </c>
    </row>
    <row r="37" spans="1:40" x14ac:dyDescent="0.2">
      <c r="A37" s="20">
        <f ca="1">IF($H37="","",IF(ISERROR(MATCH($O37,Lge_Scratch!$B:$B,0)),1,0))</f>
        <v>0</v>
      </c>
      <c r="B37" s="20">
        <f ca="1">IF($H37="","",IF(AND($AG37&gt;0,ISERROR(MATCH($O37,Lge_NonAero!$B:$B,0))),1,0))</f>
        <v>0</v>
      </c>
      <c r="C37" s="20">
        <f ca="1">IF($H37="","",IF(ISERROR(MATCH($O37,Lge_Handicap!$B:$B,0)),1,0))</f>
        <v>0</v>
      </c>
      <c r="D37" s="20">
        <f ca="1">IF($H37="","",IF(AND(LEFT($P37,3)="Wom",ISERROR(MATCH($O37,Lge_Womens!$B:$B,0))),1,0))</f>
        <v>0</v>
      </c>
      <c r="E37" s="20">
        <f ca="1">IF($H37="","",IF(AND(OR($P37="Vet",$P37="Woman Vet"),ISERROR(MATCH($O37,Lge_Veterans!$B:$B,0))),1,0))</f>
        <v>0</v>
      </c>
      <c r="F37" s="20">
        <f ca="1">IF($H37="","",IF(AND(OR($P37="Junior",$P37="Youth"),ISERROR(MATCH($O37,Lge_Junior!$B:$B,0))),1,0))</f>
        <v>0</v>
      </c>
      <c r="G37" s="20">
        <f ca="1">IF($H37="","",IF(AND($P37="Youth",ISERROR(MATCH($O37,Lge_Youth!$B:$B,0))),1,0))</f>
        <v>0</v>
      </c>
      <c r="H37" s="16" t="str">
        <f ca="1">IFERROR(__xludf.DUMMYFUNCTION("""COMPUTED_VALUE"""),"45809_Sunday League_10")</f>
        <v>45809_Sunday League_10</v>
      </c>
      <c r="I37" s="16" t="str">
        <f ca="1">IFERROR(__xludf.DUMMYFUNCTION("""COMPUTED_VALUE"""),"45809_Sunday League_10_2")</f>
        <v>45809_Sunday League_10_2</v>
      </c>
      <c r="J37" s="16">
        <f ca="1">IFERROR(__xludf.DUMMYFUNCTION("""COMPUTED_VALUE"""),4)</f>
        <v>4</v>
      </c>
      <c r="K37" s="16" t="str">
        <f ca="1">IFERROR(__xludf.DUMMYFUNCTION("""COMPUTED_VALUE"""),"Sunday League")</f>
        <v>Sunday League</v>
      </c>
      <c r="L37" s="22">
        <f ca="1">IFERROR(__xludf.DUMMYFUNCTION("""COMPUTED_VALUE"""),45809)</f>
        <v>45809</v>
      </c>
      <c r="M37" s="16">
        <f ca="1">IFERROR(__xludf.DUMMYFUNCTION("""COMPUTED_VALUE"""),10)</f>
        <v>10</v>
      </c>
      <c r="N37" s="16">
        <f ca="1">IFERROR(__xludf.DUMMYFUNCTION("""COMPUTED_VALUE"""),2)</f>
        <v>2</v>
      </c>
      <c r="O37" s="16" t="str">
        <f ca="1">IFERROR(__xludf.DUMMYFUNCTION("""COMPUTED_VALUE"""),"Philip Brant")</f>
        <v>Philip Brant</v>
      </c>
      <c r="P37" s="16" t="str">
        <f ca="1">IFERROR(__xludf.DUMMYFUNCTION("""COMPUTED_VALUE"""),"Vet")</f>
        <v>Vet</v>
      </c>
      <c r="Q37" s="23">
        <f ca="1">IFERROR(__xludf.DUMMYFUNCTION("""COMPUTED_VALUE"""),0.0170486111111111)</f>
        <v>1.7048611111111101E-2</v>
      </c>
      <c r="R37" s="16" t="str">
        <f ca="1">IFERROR(__xludf.DUMMYFUNCTION("""COMPUTED_VALUE"""),"PB")</f>
        <v>PB</v>
      </c>
      <c r="S37" s="16">
        <f ca="1">IFERROR(__xludf.DUMMYFUNCTION("""COMPUTED_VALUE"""),59)</f>
        <v>59</v>
      </c>
      <c r="T37" s="23">
        <f ca="1">IFERROR(__xludf.DUMMYFUNCTION("""COMPUTED_VALUE"""),0.011505)</f>
        <v>1.1505E-2</v>
      </c>
      <c r="U37" s="16">
        <f ca="1">IFERROR(__xludf.DUMMYFUNCTION("""COMPUTED_VALUE"""),1)</f>
        <v>1</v>
      </c>
      <c r="V37" s="16">
        <f ca="1">IFERROR(__xludf.DUMMYFUNCTION("""COMPUTED_VALUE"""),60)</f>
        <v>60</v>
      </c>
      <c r="W37" s="23">
        <f ca="1">IFERROR(__xludf.DUMMYFUNCTION("""COMPUTED_VALUE"""),0.0145254629629629)</f>
        <v>1.45254629629629E-2</v>
      </c>
      <c r="X37" s="16">
        <f ca="1">IFERROR(__xludf.DUMMYFUNCTION("""COMPUTED_VALUE"""),1)</f>
        <v>1</v>
      </c>
      <c r="Y37" s="16">
        <f ca="1">IFERROR(__xludf.DUMMYFUNCTION("""COMPUTED_VALUE"""),60)</f>
        <v>60</v>
      </c>
      <c r="Z37" s="16">
        <f ca="1">IFERROR(__xludf.DUMMYFUNCTION("""COMPUTED_VALUE"""),0)</f>
        <v>0</v>
      </c>
      <c r="AA37" s="16">
        <f ca="1">IFERROR(__xludf.DUMMYFUNCTION("""COMPUTED_VALUE"""),0)</f>
        <v>0</v>
      </c>
      <c r="AB37" s="16">
        <f ca="1">IFERROR(__xludf.DUMMYFUNCTION("""COMPUTED_VALUE"""),0)</f>
        <v>0</v>
      </c>
      <c r="AC37" s="16">
        <f ca="1">IFERROR(__xludf.DUMMYFUNCTION("""COMPUTED_VALUE"""),0)</f>
        <v>0</v>
      </c>
      <c r="AD37" s="16">
        <f ca="1">IFERROR(__xludf.DUMMYFUNCTION("""COMPUTED_VALUE"""),0)</f>
        <v>0</v>
      </c>
      <c r="AE37" s="16">
        <f ca="1">IFERROR(__xludf.DUMMYFUNCTION("""COMPUTED_VALUE"""),0)</f>
        <v>0</v>
      </c>
      <c r="AF37" s="16" t="str">
        <f ca="1">IFERROR(__xludf.DUMMYFUNCTION("""COMPUTED_VALUE"""),"")</f>
        <v/>
      </c>
      <c r="AG37" s="16">
        <f ca="1">IFERROR(__xludf.DUMMYFUNCTION("""COMPUTED_VALUE"""),0)</f>
        <v>0</v>
      </c>
      <c r="AH37" s="16">
        <f ca="1">IFERROR(__xludf.DUMMYFUNCTION("""COMPUTED_VALUE"""),0)</f>
        <v>0</v>
      </c>
      <c r="AI37" s="16" t="str">
        <f ca="1">IFERROR(__xludf.DUMMYFUNCTION("""COMPUTED_VALUE"""),"")</f>
        <v/>
      </c>
      <c r="AJ37" s="16" t="str">
        <f ca="1">IFERROR(__xludf.DUMMYFUNCTION("""COMPUTED_VALUE"""),"")</f>
        <v/>
      </c>
      <c r="AK37" s="16" t="str">
        <f ca="1">IFERROR(__xludf.DUMMYFUNCTION("""COMPUTED_VALUE"""),"PB")</f>
        <v>PB</v>
      </c>
      <c r="AL37" s="16" t="str">
        <f ca="1">IFERROR(__xludf.DUMMYFUNCTION("""COMPUTED_VALUE"""),"")</f>
        <v/>
      </c>
      <c r="AM37" s="16" t="str">
        <f ca="1">IFERROR(__xludf.DUMMYFUNCTION("""COMPUTED_VALUE"""),"")</f>
        <v/>
      </c>
      <c r="AN37" s="24" t="str">
        <f ca="1">IFERROR(__xludf.DUMMYFUNCTION("""COMPUTED_VALUE"""),"")</f>
        <v/>
      </c>
    </row>
    <row r="38" spans="1:40" x14ac:dyDescent="0.2">
      <c r="A38" s="20">
        <f ca="1">IF($H38="","",IF(ISERROR(MATCH($O38,Lge_Scratch!$B:$B,0)),1,0))</f>
        <v>0</v>
      </c>
      <c r="B38" s="20">
        <f ca="1">IF($H38="","",IF(AND($AG38&gt;0,ISERROR(MATCH($O38,Lge_NonAero!$B:$B,0))),1,0))</f>
        <v>0</v>
      </c>
      <c r="C38" s="20">
        <f ca="1">IF($H38="","",IF(ISERROR(MATCH($O38,Lge_Handicap!$B:$B,0)),1,0))</f>
        <v>0</v>
      </c>
      <c r="D38" s="20">
        <f ca="1">IF($H38="","",IF(AND(LEFT($P38,3)="Wom",ISERROR(MATCH($O38,Lge_Womens!$B:$B,0))),1,0))</f>
        <v>0</v>
      </c>
      <c r="E38" s="20">
        <f ca="1">IF($H38="","",IF(AND(OR($P38="Vet",$P38="Woman Vet"),ISERROR(MATCH($O38,Lge_Veterans!$B:$B,0))),1,0))</f>
        <v>0</v>
      </c>
      <c r="F38" s="20">
        <f ca="1">IF($H38="","",IF(AND(OR($P38="Junior",$P38="Youth"),ISERROR(MATCH($O38,Lge_Junior!$B:$B,0))),1,0))</f>
        <v>0</v>
      </c>
      <c r="G38" s="20">
        <f ca="1">IF($H38="","",IF(AND($P38="Youth",ISERROR(MATCH($O38,Lge_Youth!$B:$B,0))),1,0))</f>
        <v>0</v>
      </c>
      <c r="H38" s="16" t="str">
        <f ca="1">IFERROR(__xludf.DUMMYFUNCTION("""COMPUTED_VALUE"""),"45809_Sunday League_10")</f>
        <v>45809_Sunday League_10</v>
      </c>
      <c r="I38" s="16" t="str">
        <f ca="1">IFERROR(__xludf.DUMMYFUNCTION("""COMPUTED_VALUE"""),"45809_Sunday League_10_3")</f>
        <v>45809_Sunday League_10_3</v>
      </c>
      <c r="J38" s="16">
        <f ca="1">IFERROR(__xludf.DUMMYFUNCTION("""COMPUTED_VALUE"""),4)</f>
        <v>4</v>
      </c>
      <c r="K38" s="16" t="str">
        <f ca="1">IFERROR(__xludf.DUMMYFUNCTION("""COMPUTED_VALUE"""),"Sunday League")</f>
        <v>Sunday League</v>
      </c>
      <c r="L38" s="22">
        <f ca="1">IFERROR(__xludf.DUMMYFUNCTION("""COMPUTED_VALUE"""),45809)</f>
        <v>45809</v>
      </c>
      <c r="M38" s="16">
        <f ca="1">IFERROR(__xludf.DUMMYFUNCTION("""COMPUTED_VALUE"""),10)</f>
        <v>10</v>
      </c>
      <c r="N38" s="16">
        <f ca="1">IFERROR(__xludf.DUMMYFUNCTION("""COMPUTED_VALUE"""),3)</f>
        <v>3</v>
      </c>
      <c r="O38" s="16" t="str">
        <f ca="1">IFERROR(__xludf.DUMMYFUNCTION("""COMPUTED_VALUE"""),"David Carey")</f>
        <v>David Carey</v>
      </c>
      <c r="P38" s="16" t="str">
        <f ca="1">IFERROR(__xludf.DUMMYFUNCTION("""COMPUTED_VALUE"""),"Vet")</f>
        <v>Vet</v>
      </c>
      <c r="Q38" s="23">
        <f ca="1">IFERROR(__xludf.DUMMYFUNCTION("""COMPUTED_VALUE"""),0.0172106481481481)</f>
        <v>1.72106481481481E-2</v>
      </c>
      <c r="R38" s="16" t="str">
        <f ca="1">IFERROR(__xludf.DUMMYFUNCTION("""COMPUTED_VALUE"""),"")</f>
        <v/>
      </c>
      <c r="S38" s="16">
        <f ca="1">IFERROR(__xludf.DUMMYFUNCTION("""COMPUTED_VALUE"""),58)</f>
        <v>58</v>
      </c>
      <c r="T38" s="23">
        <f ca="1">IFERROR(__xludf.DUMMYFUNCTION("""COMPUTED_VALUE"""),0.012836)</f>
        <v>1.2836E-2</v>
      </c>
      <c r="U38" s="16">
        <f ca="1">IFERROR(__xludf.DUMMYFUNCTION("""COMPUTED_VALUE"""),3)</f>
        <v>3</v>
      </c>
      <c r="V38" s="16">
        <f ca="1">IFERROR(__xludf.DUMMYFUNCTION("""COMPUTED_VALUE"""),58)</f>
        <v>58</v>
      </c>
      <c r="W38" s="23">
        <f ca="1">IFERROR(__xludf.DUMMYFUNCTION("""COMPUTED_VALUE"""),0.0165277777777777)</f>
        <v>1.65277777777777E-2</v>
      </c>
      <c r="X38" s="16">
        <f ca="1">IFERROR(__xludf.DUMMYFUNCTION("""COMPUTED_VALUE"""),3)</f>
        <v>3</v>
      </c>
      <c r="Y38" s="16">
        <f ca="1">IFERROR(__xludf.DUMMYFUNCTION("""COMPUTED_VALUE"""),58)</f>
        <v>58</v>
      </c>
      <c r="Z38" s="16">
        <f ca="1">IFERROR(__xludf.DUMMYFUNCTION("""COMPUTED_VALUE"""),0)</f>
        <v>0</v>
      </c>
      <c r="AA38" s="16">
        <f ca="1">IFERROR(__xludf.DUMMYFUNCTION("""COMPUTED_VALUE"""),0)</f>
        <v>0</v>
      </c>
      <c r="AB38" s="16">
        <f ca="1">IFERROR(__xludf.DUMMYFUNCTION("""COMPUTED_VALUE"""),0)</f>
        <v>0</v>
      </c>
      <c r="AC38" s="16">
        <f ca="1">IFERROR(__xludf.DUMMYFUNCTION("""COMPUTED_VALUE"""),0)</f>
        <v>0</v>
      </c>
      <c r="AD38" s="16">
        <f ca="1">IFERROR(__xludf.DUMMYFUNCTION("""COMPUTED_VALUE"""),0)</f>
        <v>0</v>
      </c>
      <c r="AE38" s="16">
        <f ca="1">IFERROR(__xludf.DUMMYFUNCTION("""COMPUTED_VALUE"""),0)</f>
        <v>0</v>
      </c>
      <c r="AF38" s="16" t="str">
        <f ca="1">IFERROR(__xludf.DUMMYFUNCTION("""COMPUTED_VALUE"""),"")</f>
        <v/>
      </c>
      <c r="AG38" s="16">
        <f ca="1">IFERROR(__xludf.DUMMYFUNCTION("""COMPUTED_VALUE"""),0)</f>
        <v>0</v>
      </c>
      <c r="AH38" s="16">
        <f ca="1">IFERROR(__xludf.DUMMYFUNCTION("""COMPUTED_VALUE"""),0)</f>
        <v>0</v>
      </c>
      <c r="AI38" s="16" t="str">
        <f ca="1">IFERROR(__xludf.DUMMYFUNCTION("""COMPUTED_VALUE"""),"")</f>
        <v/>
      </c>
      <c r="AJ38" s="16" t="str">
        <f ca="1">IFERROR(__xludf.DUMMYFUNCTION("""COMPUTED_VALUE"""),"")</f>
        <v/>
      </c>
      <c r="AK38" s="16" t="str">
        <f ca="1">IFERROR(__xludf.DUMMYFUNCTION("""COMPUTED_VALUE"""),"")</f>
        <v/>
      </c>
      <c r="AL38" s="16" t="str">
        <f ca="1">IFERROR(__xludf.DUMMYFUNCTION("""COMPUTED_VALUE"""),"")</f>
        <v/>
      </c>
      <c r="AM38" s="16" t="str">
        <f ca="1">IFERROR(__xludf.DUMMYFUNCTION("""COMPUTED_VALUE"""),"")</f>
        <v/>
      </c>
      <c r="AN38" s="24" t="str">
        <f ca="1">IFERROR(__xludf.DUMMYFUNCTION("""COMPUTED_VALUE"""),"")</f>
        <v/>
      </c>
    </row>
    <row r="39" spans="1:40" x14ac:dyDescent="0.2">
      <c r="A39" s="20">
        <f ca="1">IF($H39="","",IF(ISERROR(MATCH($O39,Lge_Scratch!$B:$B,0)),1,0))</f>
        <v>0</v>
      </c>
      <c r="B39" s="20">
        <f ca="1">IF($H39="","",IF(AND($AG39&gt;0,ISERROR(MATCH($O39,Lge_NonAero!$B:$B,0))),1,0))</f>
        <v>0</v>
      </c>
      <c r="C39" s="20">
        <f ca="1">IF($H39="","",IF(ISERROR(MATCH($O39,Lge_Handicap!$B:$B,0)),1,0))</f>
        <v>0</v>
      </c>
      <c r="D39" s="20">
        <f ca="1">IF($H39="","",IF(AND(LEFT($P39,3)="Wom",ISERROR(MATCH($O39,Lge_Womens!$B:$B,0))),1,0))</f>
        <v>0</v>
      </c>
      <c r="E39" s="20">
        <f ca="1">IF($H39="","",IF(AND(OR($P39="Vet",$P39="Woman Vet"),ISERROR(MATCH($O39,Lge_Veterans!$B:$B,0))),1,0))</f>
        <v>0</v>
      </c>
      <c r="F39" s="20">
        <f ca="1">IF($H39="","",IF(AND(OR($P39="Junior",$P39="Youth"),ISERROR(MATCH($O39,Lge_Junior!$B:$B,0))),1,0))</f>
        <v>0</v>
      </c>
      <c r="G39" s="20">
        <f ca="1">IF($H39="","",IF(AND($P39="Youth",ISERROR(MATCH($O39,Lge_Youth!$B:$B,0))),1,0))</f>
        <v>0</v>
      </c>
      <c r="H39" s="16" t="str">
        <f ca="1">IFERROR(__xludf.DUMMYFUNCTION("""COMPUTED_VALUE"""),"45809_Sunday League_10")</f>
        <v>45809_Sunday League_10</v>
      </c>
      <c r="I39" s="16" t="str">
        <f ca="1">IFERROR(__xludf.DUMMYFUNCTION("""COMPUTED_VALUE"""),"45809_Sunday League_10_4")</f>
        <v>45809_Sunday League_10_4</v>
      </c>
      <c r="J39" s="16">
        <f ca="1">IFERROR(__xludf.DUMMYFUNCTION("""COMPUTED_VALUE"""),4)</f>
        <v>4</v>
      </c>
      <c r="K39" s="16" t="str">
        <f ca="1">IFERROR(__xludf.DUMMYFUNCTION("""COMPUTED_VALUE"""),"Sunday League")</f>
        <v>Sunday League</v>
      </c>
      <c r="L39" s="22">
        <f ca="1">IFERROR(__xludf.DUMMYFUNCTION("""COMPUTED_VALUE"""),45809)</f>
        <v>45809</v>
      </c>
      <c r="M39" s="16">
        <f ca="1">IFERROR(__xludf.DUMMYFUNCTION("""COMPUTED_VALUE"""),10)</f>
        <v>10</v>
      </c>
      <c r="N39" s="16">
        <f ca="1">IFERROR(__xludf.DUMMYFUNCTION("""COMPUTED_VALUE"""),4)</f>
        <v>4</v>
      </c>
      <c r="O39" s="16" t="str">
        <f ca="1">IFERROR(__xludf.DUMMYFUNCTION("""COMPUTED_VALUE"""),"Paul Gribbon")</f>
        <v>Paul Gribbon</v>
      </c>
      <c r="P39" s="16" t="str">
        <f ca="1">IFERROR(__xludf.DUMMYFUNCTION("""COMPUTED_VALUE"""),"Vet")</f>
        <v>Vet</v>
      </c>
      <c r="Q39" s="23">
        <f ca="1">IFERROR(__xludf.DUMMYFUNCTION("""COMPUTED_VALUE"""),0.0184143518518518)</f>
        <v>1.84143518518518E-2</v>
      </c>
      <c r="R39" s="16" t="str">
        <f ca="1">IFERROR(__xludf.DUMMYFUNCTION("""COMPUTED_VALUE"""),"CB")</f>
        <v>CB</v>
      </c>
      <c r="S39" s="16">
        <f ca="1">IFERROR(__xludf.DUMMYFUNCTION("""COMPUTED_VALUE"""),57)</f>
        <v>57</v>
      </c>
      <c r="T39" s="23">
        <f ca="1">IFERROR(__xludf.DUMMYFUNCTION("""COMPUTED_VALUE"""),0.013808)</f>
        <v>1.3808000000000001E-2</v>
      </c>
      <c r="U39" s="16">
        <f ca="1">IFERROR(__xludf.DUMMYFUNCTION("""COMPUTED_VALUE"""),4)</f>
        <v>4</v>
      </c>
      <c r="V39" s="16">
        <f ca="1">IFERROR(__xludf.DUMMYFUNCTION("""COMPUTED_VALUE"""),57)</f>
        <v>57</v>
      </c>
      <c r="W39" s="23">
        <f ca="1">IFERROR(__xludf.DUMMYFUNCTION("""COMPUTED_VALUE"""),0.0177314814814814)</f>
        <v>1.77314814814814E-2</v>
      </c>
      <c r="X39" s="16">
        <f ca="1">IFERROR(__xludf.DUMMYFUNCTION("""COMPUTED_VALUE"""),4)</f>
        <v>4</v>
      </c>
      <c r="Y39" s="16">
        <f ca="1">IFERROR(__xludf.DUMMYFUNCTION("""COMPUTED_VALUE"""),57)</f>
        <v>57</v>
      </c>
      <c r="Z39" s="16">
        <f ca="1">IFERROR(__xludf.DUMMYFUNCTION("""COMPUTED_VALUE"""),0)</f>
        <v>0</v>
      </c>
      <c r="AA39" s="16">
        <f ca="1">IFERROR(__xludf.DUMMYFUNCTION("""COMPUTED_VALUE"""),0)</f>
        <v>0</v>
      </c>
      <c r="AB39" s="16">
        <f ca="1">IFERROR(__xludf.DUMMYFUNCTION("""COMPUTED_VALUE"""),0)</f>
        <v>0</v>
      </c>
      <c r="AC39" s="16">
        <f ca="1">IFERROR(__xludf.DUMMYFUNCTION("""COMPUTED_VALUE"""),0)</f>
        <v>0</v>
      </c>
      <c r="AD39" s="16">
        <f ca="1">IFERROR(__xludf.DUMMYFUNCTION("""COMPUTED_VALUE"""),0)</f>
        <v>0</v>
      </c>
      <c r="AE39" s="16">
        <f ca="1">IFERROR(__xludf.DUMMYFUNCTION("""COMPUTED_VALUE"""),0)</f>
        <v>0</v>
      </c>
      <c r="AF39" s="16" t="str">
        <f ca="1">IFERROR(__xludf.DUMMYFUNCTION("""COMPUTED_VALUE"""),"")</f>
        <v/>
      </c>
      <c r="AG39" s="16">
        <f ca="1">IFERROR(__xludf.DUMMYFUNCTION("""COMPUTED_VALUE"""),0)</f>
        <v>0</v>
      </c>
      <c r="AH39" s="16">
        <f ca="1">IFERROR(__xludf.DUMMYFUNCTION("""COMPUTED_VALUE"""),0)</f>
        <v>0</v>
      </c>
      <c r="AI39" s="16" t="str">
        <f ca="1">IFERROR(__xludf.DUMMYFUNCTION("""COMPUTED_VALUE"""),"")</f>
        <v/>
      </c>
      <c r="AJ39" s="16" t="str">
        <f ca="1">IFERROR(__xludf.DUMMYFUNCTION("""COMPUTED_VALUE"""),"")</f>
        <v/>
      </c>
      <c r="AK39" s="16" t="str">
        <f ca="1">IFERROR(__xludf.DUMMYFUNCTION("""COMPUTED_VALUE"""),"CB")</f>
        <v>CB</v>
      </c>
      <c r="AL39" s="16" t="str">
        <f ca="1">IFERROR(__xludf.DUMMYFUNCTION("""COMPUTED_VALUE"""),"")</f>
        <v/>
      </c>
      <c r="AM39" s="16" t="str">
        <f ca="1">IFERROR(__xludf.DUMMYFUNCTION("""COMPUTED_VALUE"""),"")</f>
        <v/>
      </c>
      <c r="AN39" s="24" t="str">
        <f ca="1">IFERROR(__xludf.DUMMYFUNCTION("""COMPUTED_VALUE"""),"")</f>
        <v/>
      </c>
    </row>
    <row r="40" spans="1:40" x14ac:dyDescent="0.2">
      <c r="A40" s="20">
        <f ca="1">IF($H40="","",IF(ISERROR(MATCH($O40,Lge_Scratch!$B:$B,0)),1,0))</f>
        <v>0</v>
      </c>
      <c r="B40" s="20">
        <f ca="1">IF($H40="","",IF(AND($AG40&gt;0,ISERROR(MATCH($O40,Lge_NonAero!$B:$B,0))),1,0))</f>
        <v>0</v>
      </c>
      <c r="C40" s="20">
        <f ca="1">IF($H40="","",IF(ISERROR(MATCH($O40,Lge_Handicap!$B:$B,0)),1,0))</f>
        <v>0</v>
      </c>
      <c r="D40" s="20">
        <f ca="1">IF($H40="","",IF(AND(LEFT($P40,3)="Wom",ISERROR(MATCH($O40,Lge_Womens!$B:$B,0))),1,0))</f>
        <v>0</v>
      </c>
      <c r="E40" s="20">
        <f ca="1">IF($H40="","",IF(AND(OR($P40="Vet",$P40="Woman Vet"),ISERROR(MATCH($O40,Lge_Veterans!$B:$B,0))),1,0))</f>
        <v>0</v>
      </c>
      <c r="F40" s="20">
        <f ca="1">IF($H40="","",IF(AND(OR($P40="Junior",$P40="Youth"),ISERROR(MATCH($O40,Lge_Junior!$B:$B,0))),1,0))</f>
        <v>0</v>
      </c>
      <c r="G40" s="20">
        <f ca="1">IF($H40="","",IF(AND($P40="Youth",ISERROR(MATCH($O40,Lge_Youth!$B:$B,0))),1,0))</f>
        <v>0</v>
      </c>
      <c r="H40" s="16" t="str">
        <f ca="1">IFERROR(__xludf.DUMMYFUNCTION("""COMPUTED_VALUE"""),"45816_Sunday League_10")</f>
        <v>45816_Sunday League_10</v>
      </c>
      <c r="I40" s="16" t="str">
        <f ca="1">IFERROR(__xludf.DUMMYFUNCTION("""COMPUTED_VALUE"""),"45816_Sunday League_10_1")</f>
        <v>45816_Sunday League_10_1</v>
      </c>
      <c r="J40" s="16">
        <f ca="1">IFERROR(__xludf.DUMMYFUNCTION("""COMPUTED_VALUE"""),13)</f>
        <v>13</v>
      </c>
      <c r="K40" s="16" t="str">
        <f ca="1">IFERROR(__xludf.DUMMYFUNCTION("""COMPUTED_VALUE"""),"Sunday League")</f>
        <v>Sunday League</v>
      </c>
      <c r="L40" s="22">
        <f ca="1">IFERROR(__xludf.DUMMYFUNCTION("""COMPUTED_VALUE"""),45816)</f>
        <v>45816</v>
      </c>
      <c r="M40" s="16">
        <f ca="1">IFERROR(__xludf.DUMMYFUNCTION("""COMPUTED_VALUE"""),10)</f>
        <v>10</v>
      </c>
      <c r="N40" s="16">
        <f ca="1">IFERROR(__xludf.DUMMYFUNCTION("""COMPUTED_VALUE"""),1)</f>
        <v>1</v>
      </c>
      <c r="O40" s="16" t="str">
        <f ca="1">IFERROR(__xludf.DUMMYFUNCTION("""COMPUTED_VALUE"""),"Henry O'Kill")</f>
        <v>Henry O'Kill</v>
      </c>
      <c r="P40" s="16" t="str">
        <f ca="1">IFERROR(__xludf.DUMMYFUNCTION("""COMPUTED_VALUE"""),"Senior")</f>
        <v>Senior</v>
      </c>
      <c r="Q40" s="23">
        <f ca="1">IFERROR(__xludf.DUMMYFUNCTION("""COMPUTED_VALUE"""),0.0157175925925925)</f>
        <v>1.5717592592592498E-2</v>
      </c>
      <c r="R40" s="16" t="str">
        <f ca="1">IFERROR(__xludf.DUMMYFUNCTION("""COMPUTED_VALUE"""),"")</f>
        <v/>
      </c>
      <c r="S40" s="16">
        <f ca="1">IFERROR(__xludf.DUMMYFUNCTION("""COMPUTED_VALUE"""),60)</f>
        <v>60</v>
      </c>
      <c r="T40" s="23">
        <f ca="1">IFERROR(__xludf.DUMMYFUNCTION("""COMPUTED_VALUE"""),0.013588)</f>
        <v>1.3587999999999999E-2</v>
      </c>
      <c r="U40" s="16">
        <f ca="1">IFERROR(__xludf.DUMMYFUNCTION("""COMPUTED_VALUE"""),11)</f>
        <v>11</v>
      </c>
      <c r="V40" s="16">
        <f ca="1">IFERROR(__xludf.DUMMYFUNCTION("""COMPUTED_VALUE"""),50)</f>
        <v>50</v>
      </c>
      <c r="W40" s="23">
        <f ca="1">IFERROR(__xludf.DUMMYFUNCTION("""COMPUTED_VALUE"""),0)</f>
        <v>0</v>
      </c>
      <c r="X40" s="16">
        <f ca="1">IFERROR(__xludf.DUMMYFUNCTION("""COMPUTED_VALUE"""),0)</f>
        <v>0</v>
      </c>
      <c r="Y40" s="16">
        <f ca="1">IFERROR(__xludf.DUMMYFUNCTION("""COMPUTED_VALUE"""),0)</f>
        <v>0</v>
      </c>
      <c r="Z40" s="16">
        <f ca="1">IFERROR(__xludf.DUMMYFUNCTION("""COMPUTED_VALUE"""),0)</f>
        <v>0</v>
      </c>
      <c r="AA40" s="16">
        <f ca="1">IFERROR(__xludf.DUMMYFUNCTION("""COMPUTED_VALUE"""),0)</f>
        <v>0</v>
      </c>
      <c r="AB40" s="16">
        <f ca="1">IFERROR(__xludf.DUMMYFUNCTION("""COMPUTED_VALUE"""),0)</f>
        <v>0</v>
      </c>
      <c r="AC40" s="16">
        <f ca="1">IFERROR(__xludf.DUMMYFUNCTION("""COMPUTED_VALUE"""),0)</f>
        <v>0</v>
      </c>
      <c r="AD40" s="16">
        <f ca="1">IFERROR(__xludf.DUMMYFUNCTION("""COMPUTED_VALUE"""),0)</f>
        <v>0</v>
      </c>
      <c r="AE40" s="16">
        <f ca="1">IFERROR(__xludf.DUMMYFUNCTION("""COMPUTED_VALUE"""),0)</f>
        <v>0</v>
      </c>
      <c r="AF40" s="16" t="str">
        <f ca="1">IFERROR(__xludf.DUMMYFUNCTION("""COMPUTED_VALUE"""),"")</f>
        <v/>
      </c>
      <c r="AG40" s="16">
        <f ca="1">IFERROR(__xludf.DUMMYFUNCTION("""COMPUTED_VALUE"""),0)</f>
        <v>0</v>
      </c>
      <c r="AH40" s="16">
        <f ca="1">IFERROR(__xludf.DUMMYFUNCTION("""COMPUTED_VALUE"""),0)</f>
        <v>0</v>
      </c>
      <c r="AI40" s="16" t="str">
        <f ca="1">IFERROR(__xludf.DUMMYFUNCTION("""COMPUTED_VALUE"""),"")</f>
        <v/>
      </c>
      <c r="AJ40" s="16" t="str">
        <f ca="1">IFERROR(__xludf.DUMMYFUNCTION("""COMPUTED_VALUE"""),"")</f>
        <v/>
      </c>
      <c r="AK40" s="16" t="str">
        <f ca="1">IFERROR(__xludf.DUMMYFUNCTION("""COMPUTED_VALUE"""),"")</f>
        <v/>
      </c>
      <c r="AL40" s="16" t="str">
        <f ca="1">IFERROR(__xludf.DUMMYFUNCTION("""COMPUTED_VALUE"""),"")</f>
        <v/>
      </c>
      <c r="AM40" s="16" t="str">
        <f ca="1">IFERROR(__xludf.DUMMYFUNCTION("""COMPUTED_VALUE"""),"")</f>
        <v/>
      </c>
      <c r="AN40" s="24" t="str">
        <f ca="1">IFERROR(__xludf.DUMMYFUNCTION("""COMPUTED_VALUE"""),"")</f>
        <v/>
      </c>
    </row>
    <row r="41" spans="1:40" x14ac:dyDescent="0.2">
      <c r="A41" s="20">
        <f ca="1">IF($H41="","",IF(ISERROR(MATCH($O41,Lge_Scratch!$B:$B,0)),1,0))</f>
        <v>0</v>
      </c>
      <c r="B41" s="20">
        <f ca="1">IF($H41="","",IF(AND($AG41&gt;0,ISERROR(MATCH($O41,Lge_NonAero!$B:$B,0))),1,0))</f>
        <v>0</v>
      </c>
      <c r="C41" s="20">
        <f ca="1">IF($H41="","",IF(ISERROR(MATCH($O41,Lge_Handicap!$B:$B,0)),1,0))</f>
        <v>0</v>
      </c>
      <c r="D41" s="20">
        <f ca="1">IF($H41="","",IF(AND(LEFT($P41,3)="Wom",ISERROR(MATCH($O41,Lge_Womens!$B:$B,0))),1,0))</f>
        <v>0</v>
      </c>
      <c r="E41" s="20">
        <f ca="1">IF($H41="","",IF(AND(OR($P41="Vet",$P41="Woman Vet"),ISERROR(MATCH($O41,Lge_Veterans!$B:$B,0))),1,0))</f>
        <v>0</v>
      </c>
      <c r="F41" s="20">
        <f ca="1">IF($H41="","",IF(AND(OR($P41="Junior",$P41="Youth"),ISERROR(MATCH($O41,Lge_Junior!$B:$B,0))),1,0))</f>
        <v>0</v>
      </c>
      <c r="G41" s="20">
        <f ca="1">IF($H41="","",IF(AND($P41="Youth",ISERROR(MATCH($O41,Lge_Youth!$B:$B,0))),1,0))</f>
        <v>0</v>
      </c>
      <c r="H41" s="16" t="str">
        <f ca="1">IFERROR(__xludf.DUMMYFUNCTION("""COMPUTED_VALUE"""),"45816_Sunday League_10")</f>
        <v>45816_Sunday League_10</v>
      </c>
      <c r="I41" s="16" t="str">
        <f ca="1">IFERROR(__xludf.DUMMYFUNCTION("""COMPUTED_VALUE"""),"45816_Sunday League_10_2")</f>
        <v>45816_Sunday League_10_2</v>
      </c>
      <c r="J41" s="16">
        <f ca="1">IFERROR(__xludf.DUMMYFUNCTION("""COMPUTED_VALUE"""),13)</f>
        <v>13</v>
      </c>
      <c r="K41" s="16" t="str">
        <f ca="1">IFERROR(__xludf.DUMMYFUNCTION("""COMPUTED_VALUE"""),"Sunday League")</f>
        <v>Sunday League</v>
      </c>
      <c r="L41" s="22">
        <f ca="1">IFERROR(__xludf.DUMMYFUNCTION("""COMPUTED_VALUE"""),45816)</f>
        <v>45816</v>
      </c>
      <c r="M41" s="16">
        <f ca="1">IFERROR(__xludf.DUMMYFUNCTION("""COMPUTED_VALUE"""),10)</f>
        <v>10</v>
      </c>
      <c r="N41" s="16">
        <f ca="1">IFERROR(__xludf.DUMMYFUNCTION("""COMPUTED_VALUE"""),2)</f>
        <v>2</v>
      </c>
      <c r="O41" s="16" t="str">
        <f ca="1">IFERROR(__xludf.DUMMYFUNCTION("""COMPUTED_VALUE"""),"David Carey")</f>
        <v>David Carey</v>
      </c>
      <c r="P41" s="16" t="str">
        <f ca="1">IFERROR(__xludf.DUMMYFUNCTION("""COMPUTED_VALUE"""),"Vet")</f>
        <v>Vet</v>
      </c>
      <c r="Q41" s="23">
        <f ca="1">IFERROR(__xludf.DUMMYFUNCTION("""COMPUTED_VALUE"""),0.0173148148148148)</f>
        <v>1.73148148148148E-2</v>
      </c>
      <c r="R41" s="16" t="str">
        <f ca="1">IFERROR(__xludf.DUMMYFUNCTION("""COMPUTED_VALUE"""),"")</f>
        <v/>
      </c>
      <c r="S41" s="16">
        <f ca="1">IFERROR(__xludf.DUMMYFUNCTION("""COMPUTED_VALUE"""),59)</f>
        <v>59</v>
      </c>
      <c r="T41" s="23">
        <f ca="1">IFERROR(__xludf.DUMMYFUNCTION("""COMPUTED_VALUE"""),0.01294)</f>
        <v>1.294E-2</v>
      </c>
      <c r="U41" s="16">
        <f ca="1">IFERROR(__xludf.DUMMYFUNCTION("""COMPUTED_VALUE"""),6)</f>
        <v>6</v>
      </c>
      <c r="V41" s="16">
        <f ca="1">IFERROR(__xludf.DUMMYFUNCTION("""COMPUTED_VALUE"""),55)</f>
        <v>55</v>
      </c>
      <c r="W41" s="23">
        <f ca="1">IFERROR(__xludf.DUMMYFUNCTION("""COMPUTED_VALUE"""),0.0166319444444444)</f>
        <v>1.6631944444444401E-2</v>
      </c>
      <c r="X41" s="16">
        <f ca="1">IFERROR(__xludf.DUMMYFUNCTION("""COMPUTED_VALUE"""),2)</f>
        <v>2</v>
      </c>
      <c r="Y41" s="16">
        <f ca="1">IFERROR(__xludf.DUMMYFUNCTION("""COMPUTED_VALUE"""),59)</f>
        <v>59</v>
      </c>
      <c r="Z41" s="16">
        <f ca="1">IFERROR(__xludf.DUMMYFUNCTION("""COMPUTED_VALUE"""),0)</f>
        <v>0</v>
      </c>
      <c r="AA41" s="16">
        <f ca="1">IFERROR(__xludf.DUMMYFUNCTION("""COMPUTED_VALUE"""),0)</f>
        <v>0</v>
      </c>
      <c r="AB41" s="16">
        <f ca="1">IFERROR(__xludf.DUMMYFUNCTION("""COMPUTED_VALUE"""),0)</f>
        <v>0</v>
      </c>
      <c r="AC41" s="16">
        <f ca="1">IFERROR(__xludf.DUMMYFUNCTION("""COMPUTED_VALUE"""),0)</f>
        <v>0</v>
      </c>
      <c r="AD41" s="16">
        <f ca="1">IFERROR(__xludf.DUMMYFUNCTION("""COMPUTED_VALUE"""),0)</f>
        <v>0</v>
      </c>
      <c r="AE41" s="16">
        <f ca="1">IFERROR(__xludf.DUMMYFUNCTION("""COMPUTED_VALUE"""),0)</f>
        <v>0</v>
      </c>
      <c r="AF41" s="16" t="str">
        <f ca="1">IFERROR(__xludf.DUMMYFUNCTION("""COMPUTED_VALUE"""),"")</f>
        <v/>
      </c>
      <c r="AG41" s="16">
        <f ca="1">IFERROR(__xludf.DUMMYFUNCTION("""COMPUTED_VALUE"""),0)</f>
        <v>0</v>
      </c>
      <c r="AH41" s="16">
        <f ca="1">IFERROR(__xludf.DUMMYFUNCTION("""COMPUTED_VALUE"""),0)</f>
        <v>0</v>
      </c>
      <c r="AI41" s="16" t="str">
        <f ca="1">IFERROR(__xludf.DUMMYFUNCTION("""COMPUTED_VALUE"""),"")</f>
        <v/>
      </c>
      <c r="AJ41" s="16" t="str">
        <f ca="1">IFERROR(__xludf.DUMMYFUNCTION("""COMPUTED_VALUE"""),"")</f>
        <v/>
      </c>
      <c r="AK41" s="16" t="str">
        <f ca="1">IFERROR(__xludf.DUMMYFUNCTION("""COMPUTED_VALUE"""),"")</f>
        <v/>
      </c>
      <c r="AL41" s="16" t="str">
        <f ca="1">IFERROR(__xludf.DUMMYFUNCTION("""COMPUTED_VALUE"""),"")</f>
        <v/>
      </c>
      <c r="AM41" s="16" t="str">
        <f ca="1">IFERROR(__xludf.DUMMYFUNCTION("""COMPUTED_VALUE"""),"")</f>
        <v/>
      </c>
      <c r="AN41" s="24" t="str">
        <f ca="1">IFERROR(__xludf.DUMMYFUNCTION("""COMPUTED_VALUE"""),"")</f>
        <v/>
      </c>
    </row>
    <row r="42" spans="1:40" x14ac:dyDescent="0.2">
      <c r="A42" s="20">
        <f ca="1">IF($H42="","",IF(ISERROR(MATCH($O42,Lge_Scratch!$B:$B,0)),1,0))</f>
        <v>0</v>
      </c>
      <c r="B42" s="20">
        <f ca="1">IF($H42="","",IF(AND($AG42&gt;0,ISERROR(MATCH($O42,Lge_NonAero!$B:$B,0))),1,0))</f>
        <v>0</v>
      </c>
      <c r="C42" s="20">
        <f ca="1">IF($H42="","",IF(ISERROR(MATCH($O42,Lge_Handicap!$B:$B,0)),1,0))</f>
        <v>0</v>
      </c>
      <c r="D42" s="20">
        <f ca="1">IF($H42="","",IF(AND(LEFT($P42,3)="Wom",ISERROR(MATCH($O42,Lge_Womens!$B:$B,0))),1,0))</f>
        <v>0</v>
      </c>
      <c r="E42" s="20">
        <f ca="1">IF($H42="","",IF(AND(OR($P42="Vet",$P42="Woman Vet"),ISERROR(MATCH($O42,Lge_Veterans!$B:$B,0))),1,0))</f>
        <v>0</v>
      </c>
      <c r="F42" s="20">
        <f ca="1">IF($H42="","",IF(AND(OR($P42="Junior",$P42="Youth"),ISERROR(MATCH($O42,Lge_Junior!$B:$B,0))),1,0))</f>
        <v>0</v>
      </c>
      <c r="G42" s="20">
        <f ca="1">IF($H42="","",IF(AND($P42="Youth",ISERROR(MATCH($O42,Lge_Youth!$B:$B,0))),1,0))</f>
        <v>0</v>
      </c>
      <c r="H42" s="16" t="str">
        <f ca="1">IFERROR(__xludf.DUMMYFUNCTION("""COMPUTED_VALUE"""),"45816_Sunday League_10")</f>
        <v>45816_Sunday League_10</v>
      </c>
      <c r="I42" s="16" t="str">
        <f ca="1">IFERROR(__xludf.DUMMYFUNCTION("""COMPUTED_VALUE"""),"45816_Sunday League_10_3")</f>
        <v>45816_Sunday League_10_3</v>
      </c>
      <c r="J42" s="16">
        <f ca="1">IFERROR(__xludf.DUMMYFUNCTION("""COMPUTED_VALUE"""),13)</f>
        <v>13</v>
      </c>
      <c r="K42" s="16" t="str">
        <f ca="1">IFERROR(__xludf.DUMMYFUNCTION("""COMPUTED_VALUE"""),"Sunday League")</f>
        <v>Sunday League</v>
      </c>
      <c r="L42" s="22">
        <f ca="1">IFERROR(__xludf.DUMMYFUNCTION("""COMPUTED_VALUE"""),45816)</f>
        <v>45816</v>
      </c>
      <c r="M42" s="16">
        <f ca="1">IFERROR(__xludf.DUMMYFUNCTION("""COMPUTED_VALUE"""),10)</f>
        <v>10</v>
      </c>
      <c r="N42" s="16">
        <f ca="1">IFERROR(__xludf.DUMMYFUNCTION("""COMPUTED_VALUE"""),3)</f>
        <v>3</v>
      </c>
      <c r="O42" s="16" t="str">
        <f ca="1">IFERROR(__xludf.DUMMYFUNCTION("""COMPUTED_VALUE"""),"Barry Simpson")</f>
        <v>Barry Simpson</v>
      </c>
      <c r="P42" s="16" t="str">
        <f ca="1">IFERROR(__xludf.DUMMYFUNCTION("""COMPUTED_VALUE"""),"Vet")</f>
        <v>Vet</v>
      </c>
      <c r="Q42" s="23">
        <f ca="1">IFERROR(__xludf.DUMMYFUNCTION("""COMPUTED_VALUE"""),0.0183680555555555)</f>
        <v>1.8368055555555499E-2</v>
      </c>
      <c r="R42" s="16" t="str">
        <f ca="1">IFERROR(__xludf.DUMMYFUNCTION("""COMPUTED_VALUE"""),"Non-aero")</f>
        <v>Non-aero</v>
      </c>
      <c r="S42" s="16">
        <f ca="1">IFERROR(__xludf.DUMMYFUNCTION("""COMPUTED_VALUE"""),58)</f>
        <v>58</v>
      </c>
      <c r="T42" s="23">
        <f ca="1">IFERROR(__xludf.DUMMYFUNCTION("""COMPUTED_VALUE"""),0.0125)</f>
        <v>1.2500000000000001E-2</v>
      </c>
      <c r="U42" s="16">
        <f ca="1">IFERROR(__xludf.DUMMYFUNCTION("""COMPUTED_VALUE"""),4)</f>
        <v>4</v>
      </c>
      <c r="V42" s="16">
        <f ca="1">IFERROR(__xludf.DUMMYFUNCTION("""COMPUTED_VALUE"""),57)</f>
        <v>57</v>
      </c>
      <c r="W42" s="23">
        <f ca="1">IFERROR(__xludf.DUMMYFUNCTION("""COMPUTED_VALUE"""),0.0163888888888888)</f>
        <v>1.63888888888888E-2</v>
      </c>
      <c r="X42" s="16">
        <f ca="1">IFERROR(__xludf.DUMMYFUNCTION("""COMPUTED_VALUE"""),1)</f>
        <v>1</v>
      </c>
      <c r="Y42" s="16">
        <f ca="1">IFERROR(__xludf.DUMMYFUNCTION("""COMPUTED_VALUE"""),60)</f>
        <v>60</v>
      </c>
      <c r="Z42" s="16">
        <f ca="1">IFERROR(__xludf.DUMMYFUNCTION("""COMPUTED_VALUE"""),0)</f>
        <v>0</v>
      </c>
      <c r="AA42" s="16">
        <f ca="1">IFERROR(__xludf.DUMMYFUNCTION("""COMPUTED_VALUE"""),0)</f>
        <v>0</v>
      </c>
      <c r="AB42" s="16">
        <f ca="1">IFERROR(__xludf.DUMMYFUNCTION("""COMPUTED_VALUE"""),0)</f>
        <v>0</v>
      </c>
      <c r="AC42" s="16">
        <f ca="1">IFERROR(__xludf.DUMMYFUNCTION("""COMPUTED_VALUE"""),0)</f>
        <v>0</v>
      </c>
      <c r="AD42" s="16">
        <f ca="1">IFERROR(__xludf.DUMMYFUNCTION("""COMPUTED_VALUE"""),0)</f>
        <v>0</v>
      </c>
      <c r="AE42" s="16">
        <f ca="1">IFERROR(__xludf.DUMMYFUNCTION("""COMPUTED_VALUE"""),0)</f>
        <v>0</v>
      </c>
      <c r="AF42" s="16">
        <f ca="1">IFERROR(__xludf.DUMMYFUNCTION("""COMPUTED_VALUE"""),1)</f>
        <v>1</v>
      </c>
      <c r="AG42" s="16">
        <f ca="1">IFERROR(__xludf.DUMMYFUNCTION("""COMPUTED_VALUE"""),60)</f>
        <v>60</v>
      </c>
      <c r="AH42" s="16">
        <f ca="1">IFERROR(__xludf.DUMMYFUNCTION("""COMPUTED_VALUE"""),0)</f>
        <v>0</v>
      </c>
      <c r="AI42" s="16">
        <f ca="1">IFERROR(__xludf.DUMMYFUNCTION("""COMPUTED_VALUE"""),1)</f>
        <v>1</v>
      </c>
      <c r="AJ42" s="16" t="str">
        <f ca="1">IFERROR(__xludf.DUMMYFUNCTION("""COMPUTED_VALUE"""),"")</f>
        <v/>
      </c>
      <c r="AK42" s="16" t="str">
        <f ca="1">IFERROR(__xludf.DUMMYFUNCTION("""COMPUTED_VALUE"""),"")</f>
        <v/>
      </c>
      <c r="AL42" s="16" t="str">
        <f ca="1">IFERROR(__xludf.DUMMYFUNCTION("""COMPUTED_VALUE"""),"")</f>
        <v/>
      </c>
      <c r="AM42" s="16" t="str">
        <f ca="1">IFERROR(__xludf.DUMMYFUNCTION("""COMPUTED_VALUE"""),"")</f>
        <v/>
      </c>
      <c r="AN42" s="24" t="str">
        <f ca="1">IFERROR(__xludf.DUMMYFUNCTION("""COMPUTED_VALUE"""),"")</f>
        <v/>
      </c>
    </row>
    <row r="43" spans="1:40" x14ac:dyDescent="0.2">
      <c r="A43" s="20">
        <f ca="1">IF($H43="","",IF(ISERROR(MATCH($O43,Lge_Scratch!$B:$B,0)),1,0))</f>
        <v>0</v>
      </c>
      <c r="B43" s="20">
        <f ca="1">IF($H43="","",IF(AND($AG43&gt;0,ISERROR(MATCH($O43,Lge_NonAero!$B:$B,0))),1,0))</f>
        <v>0</v>
      </c>
      <c r="C43" s="20">
        <f ca="1">IF($H43="","",IF(ISERROR(MATCH($O43,Lge_Handicap!$B:$B,0)),1,0))</f>
        <v>0</v>
      </c>
      <c r="D43" s="20">
        <f ca="1">IF($H43="","",IF(AND(LEFT($P43,3)="Wom",ISERROR(MATCH($O43,Lge_Womens!$B:$B,0))),1,0))</f>
        <v>0</v>
      </c>
      <c r="E43" s="20">
        <f ca="1">IF($H43="","",IF(AND(OR($P43="Vet",$P43="Woman Vet"),ISERROR(MATCH($O43,Lge_Veterans!$B:$B,0))),1,0))</f>
        <v>0</v>
      </c>
      <c r="F43" s="20">
        <f ca="1">IF($H43="","",IF(AND(OR($P43="Junior",$P43="Youth"),ISERROR(MATCH($O43,Lge_Junior!$B:$B,0))),1,0))</f>
        <v>0</v>
      </c>
      <c r="G43" s="20">
        <f ca="1">IF($H43="","",IF(AND($P43="Youth",ISERROR(MATCH($O43,Lge_Youth!$B:$B,0))),1,0))</f>
        <v>0</v>
      </c>
      <c r="H43" s="16" t="str">
        <f ca="1">IFERROR(__xludf.DUMMYFUNCTION("""COMPUTED_VALUE"""),"45816_Sunday League_10")</f>
        <v>45816_Sunday League_10</v>
      </c>
      <c r="I43" s="16" t="str">
        <f ca="1">IFERROR(__xludf.DUMMYFUNCTION("""COMPUTED_VALUE"""),"45816_Sunday League_10_4")</f>
        <v>45816_Sunday League_10_4</v>
      </c>
      <c r="J43" s="16">
        <f ca="1">IFERROR(__xludf.DUMMYFUNCTION("""COMPUTED_VALUE"""),13)</f>
        <v>13</v>
      </c>
      <c r="K43" s="16" t="str">
        <f ca="1">IFERROR(__xludf.DUMMYFUNCTION("""COMPUTED_VALUE"""),"Sunday League")</f>
        <v>Sunday League</v>
      </c>
      <c r="L43" s="22">
        <f ca="1">IFERROR(__xludf.DUMMYFUNCTION("""COMPUTED_VALUE"""),45816)</f>
        <v>45816</v>
      </c>
      <c r="M43" s="16">
        <f ca="1">IFERROR(__xludf.DUMMYFUNCTION("""COMPUTED_VALUE"""),10)</f>
        <v>10</v>
      </c>
      <c r="N43" s="16">
        <f ca="1">IFERROR(__xludf.DUMMYFUNCTION("""COMPUTED_VALUE"""),4)</f>
        <v>4</v>
      </c>
      <c r="O43" s="16" t="str">
        <f ca="1">IFERROR(__xludf.DUMMYFUNCTION("""COMPUTED_VALUE"""),"Paul Gribbon")</f>
        <v>Paul Gribbon</v>
      </c>
      <c r="P43" s="16" t="str">
        <f ca="1">IFERROR(__xludf.DUMMYFUNCTION("""COMPUTED_VALUE"""),"Vet")</f>
        <v>Vet</v>
      </c>
      <c r="Q43" s="23">
        <f ca="1">IFERROR(__xludf.DUMMYFUNCTION("""COMPUTED_VALUE"""),0.0185416666666666)</f>
        <v>1.8541666666666599E-2</v>
      </c>
      <c r="R43" s="16" t="str">
        <f ca="1">IFERROR(__xludf.DUMMYFUNCTION("""COMPUTED_VALUE"""),"")</f>
        <v/>
      </c>
      <c r="S43" s="16">
        <f ca="1">IFERROR(__xludf.DUMMYFUNCTION("""COMPUTED_VALUE"""),57)</f>
        <v>57</v>
      </c>
      <c r="T43" s="23">
        <f ca="1">IFERROR(__xludf.DUMMYFUNCTION("""COMPUTED_VALUE"""),0.013935)</f>
        <v>1.3934999999999999E-2</v>
      </c>
      <c r="U43" s="16">
        <f ca="1">IFERROR(__xludf.DUMMYFUNCTION("""COMPUTED_VALUE"""),12)</f>
        <v>12</v>
      </c>
      <c r="V43" s="16">
        <f ca="1">IFERROR(__xludf.DUMMYFUNCTION("""COMPUTED_VALUE"""),49)</f>
        <v>49</v>
      </c>
      <c r="W43" s="23">
        <f ca="1">IFERROR(__xludf.DUMMYFUNCTION("""COMPUTED_VALUE"""),0.0178587962962962)</f>
        <v>1.7858796296296199E-2</v>
      </c>
      <c r="X43" s="16">
        <f ca="1">IFERROR(__xludf.DUMMYFUNCTION("""COMPUTED_VALUE"""),4)</f>
        <v>4</v>
      </c>
      <c r="Y43" s="16">
        <f ca="1">IFERROR(__xludf.DUMMYFUNCTION("""COMPUTED_VALUE"""),57)</f>
        <v>57</v>
      </c>
      <c r="Z43" s="16">
        <f ca="1">IFERROR(__xludf.DUMMYFUNCTION("""COMPUTED_VALUE"""),0)</f>
        <v>0</v>
      </c>
      <c r="AA43" s="16">
        <f ca="1">IFERROR(__xludf.DUMMYFUNCTION("""COMPUTED_VALUE"""),0)</f>
        <v>0</v>
      </c>
      <c r="AB43" s="16">
        <f ca="1">IFERROR(__xludf.DUMMYFUNCTION("""COMPUTED_VALUE"""),0)</f>
        <v>0</v>
      </c>
      <c r="AC43" s="16">
        <f ca="1">IFERROR(__xludf.DUMMYFUNCTION("""COMPUTED_VALUE"""),0)</f>
        <v>0</v>
      </c>
      <c r="AD43" s="16">
        <f ca="1">IFERROR(__xludf.DUMMYFUNCTION("""COMPUTED_VALUE"""),0)</f>
        <v>0</v>
      </c>
      <c r="AE43" s="16">
        <f ca="1">IFERROR(__xludf.DUMMYFUNCTION("""COMPUTED_VALUE"""),0)</f>
        <v>0</v>
      </c>
      <c r="AF43" s="16" t="str">
        <f ca="1">IFERROR(__xludf.DUMMYFUNCTION("""COMPUTED_VALUE"""),"")</f>
        <v/>
      </c>
      <c r="AG43" s="16">
        <f ca="1">IFERROR(__xludf.DUMMYFUNCTION("""COMPUTED_VALUE"""),0)</f>
        <v>0</v>
      </c>
      <c r="AH43" s="16">
        <f ca="1">IFERROR(__xludf.DUMMYFUNCTION("""COMPUTED_VALUE"""),0)</f>
        <v>0</v>
      </c>
      <c r="AI43" s="16" t="str">
        <f ca="1">IFERROR(__xludf.DUMMYFUNCTION("""COMPUTED_VALUE"""),"")</f>
        <v/>
      </c>
      <c r="AJ43" s="16" t="str">
        <f ca="1">IFERROR(__xludf.DUMMYFUNCTION("""COMPUTED_VALUE"""),"")</f>
        <v/>
      </c>
      <c r="AK43" s="16" t="str">
        <f ca="1">IFERROR(__xludf.DUMMYFUNCTION("""COMPUTED_VALUE"""),"")</f>
        <v/>
      </c>
      <c r="AL43" s="16" t="str">
        <f ca="1">IFERROR(__xludf.DUMMYFUNCTION("""COMPUTED_VALUE"""),"")</f>
        <v/>
      </c>
      <c r="AM43" s="16" t="str">
        <f ca="1">IFERROR(__xludf.DUMMYFUNCTION("""COMPUTED_VALUE"""),"")</f>
        <v/>
      </c>
      <c r="AN43" s="24" t="str">
        <f ca="1">IFERROR(__xludf.DUMMYFUNCTION("""COMPUTED_VALUE"""),"")</f>
        <v/>
      </c>
    </row>
    <row r="44" spans="1:40" x14ac:dyDescent="0.2">
      <c r="A44" s="20">
        <f ca="1">IF($H44="","",IF(ISERROR(MATCH($O44,Lge_Scratch!$B:$B,0)),1,0))</f>
        <v>0</v>
      </c>
      <c r="B44" s="20">
        <f ca="1">IF($H44="","",IF(AND($AG44&gt;0,ISERROR(MATCH($O44,Lge_NonAero!$B:$B,0))),1,0))</f>
        <v>0</v>
      </c>
      <c r="C44" s="20">
        <f ca="1">IF($H44="","",IF(ISERROR(MATCH($O44,Lge_Handicap!$B:$B,0)),1,0))</f>
        <v>0</v>
      </c>
      <c r="D44" s="20">
        <f ca="1">IF($H44="","",IF(AND(LEFT($P44,3)="Wom",ISERROR(MATCH($O44,Lge_Womens!$B:$B,0))),1,0))</f>
        <v>0</v>
      </c>
      <c r="E44" s="20">
        <f ca="1">IF($H44="","",IF(AND(OR($P44="Vet",$P44="Woman Vet"),ISERROR(MATCH($O44,Lge_Veterans!$B:$B,0))),1,0))</f>
        <v>0</v>
      </c>
      <c r="F44" s="20">
        <f ca="1">IF($H44="","",IF(AND(OR($P44="Junior",$P44="Youth"),ISERROR(MATCH($O44,Lge_Junior!$B:$B,0))),1,0))</f>
        <v>0</v>
      </c>
      <c r="G44" s="20">
        <f ca="1">IF($H44="","",IF(AND($P44="Youth",ISERROR(MATCH($O44,Lge_Youth!$B:$B,0))),1,0))</f>
        <v>0</v>
      </c>
      <c r="H44" s="16" t="str">
        <f ca="1">IFERROR(__xludf.DUMMYFUNCTION("""COMPUTED_VALUE"""),"45816_Sunday League_10")</f>
        <v>45816_Sunday League_10</v>
      </c>
      <c r="I44" s="16" t="str">
        <f ca="1">IFERROR(__xludf.DUMMYFUNCTION("""COMPUTED_VALUE"""),"45816_Sunday League_10_5")</f>
        <v>45816_Sunday League_10_5</v>
      </c>
      <c r="J44" s="16">
        <f ca="1">IFERROR(__xludf.DUMMYFUNCTION("""COMPUTED_VALUE"""),13)</f>
        <v>13</v>
      </c>
      <c r="K44" s="16" t="str">
        <f ca="1">IFERROR(__xludf.DUMMYFUNCTION("""COMPUTED_VALUE"""),"Sunday League")</f>
        <v>Sunday League</v>
      </c>
      <c r="L44" s="22">
        <f ca="1">IFERROR(__xludf.DUMMYFUNCTION("""COMPUTED_VALUE"""),45816)</f>
        <v>45816</v>
      </c>
      <c r="M44" s="16">
        <f ca="1">IFERROR(__xludf.DUMMYFUNCTION("""COMPUTED_VALUE"""),10)</f>
        <v>10</v>
      </c>
      <c r="N44" s="16">
        <f ca="1">IFERROR(__xludf.DUMMYFUNCTION("""COMPUTED_VALUE"""),5)</f>
        <v>5</v>
      </c>
      <c r="O44" s="16" t="str">
        <f ca="1">IFERROR(__xludf.DUMMYFUNCTION("""COMPUTED_VALUE"""),"Andy Merchant")</f>
        <v>Andy Merchant</v>
      </c>
      <c r="P44" s="16" t="str">
        <f ca="1">IFERROR(__xludf.DUMMYFUNCTION("""COMPUTED_VALUE"""),"Vet")</f>
        <v>Vet</v>
      </c>
      <c r="Q44" s="23">
        <f ca="1">IFERROR(__xludf.DUMMYFUNCTION("""COMPUTED_VALUE"""),0.0191087962962962)</f>
        <v>1.91087962962962E-2</v>
      </c>
      <c r="R44" s="16" t="str">
        <f ca="1">IFERROR(__xludf.DUMMYFUNCTION("""COMPUTED_VALUE"""),"")</f>
        <v/>
      </c>
      <c r="S44" s="16">
        <f ca="1">IFERROR(__xludf.DUMMYFUNCTION("""COMPUTED_VALUE"""),56)</f>
        <v>56</v>
      </c>
      <c r="T44" s="23">
        <f ca="1">IFERROR(__xludf.DUMMYFUNCTION("""COMPUTED_VALUE"""),0.014433)</f>
        <v>1.4433E-2</v>
      </c>
      <c r="U44" s="16">
        <f ca="1">IFERROR(__xludf.DUMMYFUNCTION("""COMPUTED_VALUE"""),13)</f>
        <v>13</v>
      </c>
      <c r="V44" s="16">
        <f ca="1">IFERROR(__xludf.DUMMYFUNCTION("""COMPUTED_VALUE"""),48)</f>
        <v>48</v>
      </c>
      <c r="W44" s="23">
        <f ca="1">IFERROR(__xludf.DUMMYFUNCTION("""COMPUTED_VALUE"""),0.0179050925925925)</f>
        <v>1.79050925925925E-2</v>
      </c>
      <c r="X44" s="16">
        <f ca="1">IFERROR(__xludf.DUMMYFUNCTION("""COMPUTED_VALUE"""),5)</f>
        <v>5</v>
      </c>
      <c r="Y44" s="16">
        <f ca="1">IFERROR(__xludf.DUMMYFUNCTION("""COMPUTED_VALUE"""),56)</f>
        <v>56</v>
      </c>
      <c r="Z44" s="16">
        <f ca="1">IFERROR(__xludf.DUMMYFUNCTION("""COMPUTED_VALUE"""),0)</f>
        <v>0</v>
      </c>
      <c r="AA44" s="16">
        <f ca="1">IFERROR(__xludf.DUMMYFUNCTION("""COMPUTED_VALUE"""),0)</f>
        <v>0</v>
      </c>
      <c r="AB44" s="16">
        <f ca="1">IFERROR(__xludf.DUMMYFUNCTION("""COMPUTED_VALUE"""),0)</f>
        <v>0</v>
      </c>
      <c r="AC44" s="16">
        <f ca="1">IFERROR(__xludf.DUMMYFUNCTION("""COMPUTED_VALUE"""),0)</f>
        <v>0</v>
      </c>
      <c r="AD44" s="16">
        <f ca="1">IFERROR(__xludf.DUMMYFUNCTION("""COMPUTED_VALUE"""),0)</f>
        <v>0</v>
      </c>
      <c r="AE44" s="16">
        <f ca="1">IFERROR(__xludf.DUMMYFUNCTION("""COMPUTED_VALUE"""),0)</f>
        <v>0</v>
      </c>
      <c r="AF44" s="16" t="str">
        <f ca="1">IFERROR(__xludf.DUMMYFUNCTION("""COMPUTED_VALUE"""),"")</f>
        <v/>
      </c>
      <c r="AG44" s="16">
        <f ca="1">IFERROR(__xludf.DUMMYFUNCTION("""COMPUTED_VALUE"""),0)</f>
        <v>0</v>
      </c>
      <c r="AH44" s="16">
        <f ca="1">IFERROR(__xludf.DUMMYFUNCTION("""COMPUTED_VALUE"""),0)</f>
        <v>0</v>
      </c>
      <c r="AI44" s="16" t="str">
        <f ca="1">IFERROR(__xludf.DUMMYFUNCTION("""COMPUTED_VALUE"""),"")</f>
        <v/>
      </c>
      <c r="AJ44" s="16" t="str">
        <f ca="1">IFERROR(__xludf.DUMMYFUNCTION("""COMPUTED_VALUE"""),"")</f>
        <v/>
      </c>
      <c r="AK44" s="16" t="str">
        <f ca="1">IFERROR(__xludf.DUMMYFUNCTION("""COMPUTED_VALUE"""),"")</f>
        <v/>
      </c>
      <c r="AL44" s="16" t="str">
        <f ca="1">IFERROR(__xludf.DUMMYFUNCTION("""COMPUTED_VALUE"""),"")</f>
        <v/>
      </c>
      <c r="AM44" s="16" t="str">
        <f ca="1">IFERROR(__xludf.DUMMYFUNCTION("""COMPUTED_VALUE"""),"")</f>
        <v/>
      </c>
      <c r="AN44" s="24" t="str">
        <f ca="1">IFERROR(__xludf.DUMMYFUNCTION("""COMPUTED_VALUE"""),"")</f>
        <v/>
      </c>
    </row>
    <row r="45" spans="1:40" x14ac:dyDescent="0.2">
      <c r="A45" s="20">
        <f ca="1">IF($H45="","",IF(ISERROR(MATCH($O45,Lge_Scratch!$B:$B,0)),1,0))</f>
        <v>0</v>
      </c>
      <c r="B45" s="20">
        <f ca="1">IF($H45="","",IF(AND($AG45&gt;0,ISERROR(MATCH($O45,Lge_NonAero!$B:$B,0))),1,0))</f>
        <v>0</v>
      </c>
      <c r="C45" s="20">
        <f ca="1">IF($H45="","",IF(ISERROR(MATCH($O45,Lge_Handicap!$B:$B,0)),1,0))</f>
        <v>0</v>
      </c>
      <c r="D45" s="20">
        <f ca="1">IF($H45="","",IF(AND(LEFT($P45,3)="Wom",ISERROR(MATCH($O45,Lge_Womens!$B:$B,0))),1,0))</f>
        <v>0</v>
      </c>
      <c r="E45" s="20">
        <f ca="1">IF($H45="","",IF(AND(OR($P45="Vet",$P45="Woman Vet"),ISERROR(MATCH($O45,Lge_Veterans!$B:$B,0))),1,0))</f>
        <v>0</v>
      </c>
      <c r="F45" s="20">
        <f ca="1">IF($H45="","",IF(AND(OR($P45="Junior",$P45="Youth"),ISERROR(MATCH($O45,Lge_Junior!$B:$B,0))),1,0))</f>
        <v>0</v>
      </c>
      <c r="G45" s="20">
        <f ca="1">IF($H45="","",IF(AND($P45="Youth",ISERROR(MATCH($O45,Lge_Youth!$B:$B,0))),1,0))</f>
        <v>0</v>
      </c>
      <c r="H45" s="16" t="str">
        <f ca="1">IFERROR(__xludf.DUMMYFUNCTION("""COMPUTED_VALUE"""),"45816_Sunday League_10")</f>
        <v>45816_Sunday League_10</v>
      </c>
      <c r="I45" s="16" t="str">
        <f ca="1">IFERROR(__xludf.DUMMYFUNCTION("""COMPUTED_VALUE"""),"45816_Sunday League_10_6")</f>
        <v>45816_Sunday League_10_6</v>
      </c>
      <c r="J45" s="16">
        <f ca="1">IFERROR(__xludf.DUMMYFUNCTION("""COMPUTED_VALUE"""),13)</f>
        <v>13</v>
      </c>
      <c r="K45" s="16" t="str">
        <f ca="1">IFERROR(__xludf.DUMMYFUNCTION("""COMPUTED_VALUE"""),"Sunday League")</f>
        <v>Sunday League</v>
      </c>
      <c r="L45" s="22">
        <f ca="1">IFERROR(__xludf.DUMMYFUNCTION("""COMPUTED_VALUE"""),45816)</f>
        <v>45816</v>
      </c>
      <c r="M45" s="16">
        <f ca="1">IFERROR(__xludf.DUMMYFUNCTION("""COMPUTED_VALUE"""),10)</f>
        <v>10</v>
      </c>
      <c r="N45" s="16">
        <f ca="1">IFERROR(__xludf.DUMMYFUNCTION("""COMPUTED_VALUE"""),6)</f>
        <v>6</v>
      </c>
      <c r="O45" s="16" t="str">
        <f ca="1">IFERROR(__xludf.DUMMYFUNCTION("""COMPUTED_VALUE"""),"Ben Pennington")</f>
        <v>Ben Pennington</v>
      </c>
      <c r="P45" s="16" t="str">
        <f ca="1">IFERROR(__xludf.DUMMYFUNCTION("""COMPUTED_VALUE"""),"Vet")</f>
        <v>Vet</v>
      </c>
      <c r="Q45" s="23">
        <f ca="1">IFERROR(__xludf.DUMMYFUNCTION("""COMPUTED_VALUE"""),0.0191782407407407)</f>
        <v>1.9178240740740701E-2</v>
      </c>
      <c r="R45" s="16" t="str">
        <f ca="1">IFERROR(__xludf.DUMMYFUNCTION("""COMPUTED_VALUE"""),"Non-aero")</f>
        <v>Non-aero</v>
      </c>
      <c r="S45" s="16">
        <f ca="1">IFERROR(__xludf.DUMMYFUNCTION("""COMPUTED_VALUE"""),55)</f>
        <v>55</v>
      </c>
      <c r="T45" s="23">
        <f ca="1">IFERROR(__xludf.DUMMYFUNCTION("""COMPUTED_VALUE"""),0.012292)</f>
        <v>1.2292000000000001E-2</v>
      </c>
      <c r="U45" s="16">
        <f ca="1">IFERROR(__xludf.DUMMYFUNCTION("""COMPUTED_VALUE"""),2)</f>
        <v>2</v>
      </c>
      <c r="V45" s="16">
        <f ca="1">IFERROR(__xludf.DUMMYFUNCTION("""COMPUTED_VALUE"""),59)</f>
        <v>59</v>
      </c>
      <c r="W45" s="23">
        <f ca="1">IFERROR(__xludf.DUMMYFUNCTION("""COMPUTED_VALUE"""),0.0188194444444444)</f>
        <v>1.8819444444444399E-2</v>
      </c>
      <c r="X45" s="16">
        <f ca="1">IFERROR(__xludf.DUMMYFUNCTION("""COMPUTED_VALUE"""),8)</f>
        <v>8</v>
      </c>
      <c r="Y45" s="16">
        <f ca="1">IFERROR(__xludf.DUMMYFUNCTION("""COMPUTED_VALUE"""),53)</f>
        <v>53</v>
      </c>
      <c r="Z45" s="16">
        <f ca="1">IFERROR(__xludf.DUMMYFUNCTION("""COMPUTED_VALUE"""),0)</f>
        <v>0</v>
      </c>
      <c r="AA45" s="16">
        <f ca="1">IFERROR(__xludf.DUMMYFUNCTION("""COMPUTED_VALUE"""),0)</f>
        <v>0</v>
      </c>
      <c r="AB45" s="16">
        <f ca="1">IFERROR(__xludf.DUMMYFUNCTION("""COMPUTED_VALUE"""),0)</f>
        <v>0</v>
      </c>
      <c r="AC45" s="16">
        <f ca="1">IFERROR(__xludf.DUMMYFUNCTION("""COMPUTED_VALUE"""),0)</f>
        <v>0</v>
      </c>
      <c r="AD45" s="16">
        <f ca="1">IFERROR(__xludf.DUMMYFUNCTION("""COMPUTED_VALUE"""),0)</f>
        <v>0</v>
      </c>
      <c r="AE45" s="16">
        <f ca="1">IFERROR(__xludf.DUMMYFUNCTION("""COMPUTED_VALUE"""),0)</f>
        <v>0</v>
      </c>
      <c r="AF45" s="16">
        <f ca="1">IFERROR(__xludf.DUMMYFUNCTION("""COMPUTED_VALUE"""),2)</f>
        <v>2</v>
      </c>
      <c r="AG45" s="16">
        <f ca="1">IFERROR(__xludf.DUMMYFUNCTION("""COMPUTED_VALUE"""),59)</f>
        <v>59</v>
      </c>
      <c r="AH45" s="16">
        <f ca="1">IFERROR(__xludf.DUMMYFUNCTION("""COMPUTED_VALUE"""),0)</f>
        <v>0</v>
      </c>
      <c r="AI45" s="16">
        <f ca="1">IFERROR(__xludf.DUMMYFUNCTION("""COMPUTED_VALUE"""),2)</f>
        <v>2</v>
      </c>
      <c r="AJ45" s="16" t="str">
        <f ca="1">IFERROR(__xludf.DUMMYFUNCTION("""COMPUTED_VALUE"""),"")</f>
        <v/>
      </c>
      <c r="AK45" s="16" t="str">
        <f ca="1">IFERROR(__xludf.DUMMYFUNCTION("""COMPUTED_VALUE"""),"")</f>
        <v/>
      </c>
      <c r="AL45" s="16" t="str">
        <f ca="1">IFERROR(__xludf.DUMMYFUNCTION("""COMPUTED_VALUE"""),"")</f>
        <v/>
      </c>
      <c r="AM45" s="16" t="str">
        <f ca="1">IFERROR(__xludf.DUMMYFUNCTION("""COMPUTED_VALUE"""),"")</f>
        <v/>
      </c>
      <c r="AN45" s="24" t="str">
        <f ca="1">IFERROR(__xludf.DUMMYFUNCTION("""COMPUTED_VALUE"""),"")</f>
        <v/>
      </c>
    </row>
    <row r="46" spans="1:40" x14ac:dyDescent="0.2">
      <c r="A46" s="20">
        <f ca="1">IF($H46="","",IF(ISERROR(MATCH($O46,Lge_Scratch!$B:$B,0)),1,0))</f>
        <v>0</v>
      </c>
      <c r="B46" s="20">
        <f ca="1">IF($H46="","",IF(AND($AG46&gt;0,ISERROR(MATCH($O46,Lge_NonAero!$B:$B,0))),1,0))</f>
        <v>0</v>
      </c>
      <c r="C46" s="20">
        <f ca="1">IF($H46="","",IF(ISERROR(MATCH($O46,Lge_Handicap!$B:$B,0)),1,0))</f>
        <v>0</v>
      </c>
      <c r="D46" s="20">
        <f ca="1">IF($H46="","",IF(AND(LEFT($P46,3)="Wom",ISERROR(MATCH($O46,Lge_Womens!$B:$B,0))),1,0))</f>
        <v>0</v>
      </c>
      <c r="E46" s="20">
        <f ca="1">IF($H46="","",IF(AND(OR($P46="Vet",$P46="Woman Vet"),ISERROR(MATCH($O46,Lge_Veterans!$B:$B,0))),1,0))</f>
        <v>0</v>
      </c>
      <c r="F46" s="20">
        <f ca="1">IF($H46="","",IF(AND(OR($P46="Junior",$P46="Youth"),ISERROR(MATCH($O46,Lge_Junior!$B:$B,0))),1,0))</f>
        <v>0</v>
      </c>
      <c r="G46" s="20">
        <f ca="1">IF($H46="","",IF(AND($P46="Youth",ISERROR(MATCH($O46,Lge_Youth!$B:$B,0))),1,0))</f>
        <v>0</v>
      </c>
      <c r="H46" s="16" t="str">
        <f ca="1">IFERROR(__xludf.DUMMYFUNCTION("""COMPUTED_VALUE"""),"45816_Sunday League_10")</f>
        <v>45816_Sunday League_10</v>
      </c>
      <c r="I46" s="16" t="str">
        <f ca="1">IFERROR(__xludf.DUMMYFUNCTION("""COMPUTED_VALUE"""),"45816_Sunday League_10_7")</f>
        <v>45816_Sunday League_10_7</v>
      </c>
      <c r="J46" s="16">
        <f ca="1">IFERROR(__xludf.DUMMYFUNCTION("""COMPUTED_VALUE"""),13)</f>
        <v>13</v>
      </c>
      <c r="K46" s="16" t="str">
        <f ca="1">IFERROR(__xludf.DUMMYFUNCTION("""COMPUTED_VALUE"""),"Sunday League")</f>
        <v>Sunday League</v>
      </c>
      <c r="L46" s="22">
        <f ca="1">IFERROR(__xludf.DUMMYFUNCTION("""COMPUTED_VALUE"""),45816)</f>
        <v>45816</v>
      </c>
      <c r="M46" s="16">
        <f ca="1">IFERROR(__xludf.DUMMYFUNCTION("""COMPUTED_VALUE"""),10)</f>
        <v>10</v>
      </c>
      <c r="N46" s="16">
        <f ca="1">IFERROR(__xludf.DUMMYFUNCTION("""COMPUTED_VALUE"""),7)</f>
        <v>7</v>
      </c>
      <c r="O46" s="16" t="str">
        <f ca="1">IFERROR(__xludf.DUMMYFUNCTION("""COMPUTED_VALUE"""),"Isaac Phillips")</f>
        <v>Isaac Phillips</v>
      </c>
      <c r="P46" s="16" t="str">
        <f ca="1">IFERROR(__xludf.DUMMYFUNCTION("""COMPUTED_VALUE"""),"Senior")</f>
        <v>Senior</v>
      </c>
      <c r="Q46" s="23">
        <f ca="1">IFERROR(__xludf.DUMMYFUNCTION("""COMPUTED_VALUE"""),0.0191782407407407)</f>
        <v>1.9178240740740701E-2</v>
      </c>
      <c r="R46" s="16" t="str">
        <f ca="1">IFERROR(__xludf.DUMMYFUNCTION("""COMPUTED_VALUE"""),"Non-aero")</f>
        <v>Non-aero</v>
      </c>
      <c r="S46" s="16">
        <f ca="1">IFERROR(__xludf.DUMMYFUNCTION("""COMPUTED_VALUE"""),55)</f>
        <v>55</v>
      </c>
      <c r="T46" s="23">
        <f ca="1">IFERROR(__xludf.DUMMYFUNCTION("""COMPUTED_VALUE"""),0.012442)</f>
        <v>1.2442E-2</v>
      </c>
      <c r="U46" s="16">
        <f ca="1">IFERROR(__xludf.DUMMYFUNCTION("""COMPUTED_VALUE"""),3)</f>
        <v>3</v>
      </c>
      <c r="V46" s="16">
        <f ca="1">IFERROR(__xludf.DUMMYFUNCTION("""COMPUTED_VALUE"""),58)</f>
        <v>58</v>
      </c>
      <c r="W46" s="23">
        <f ca="1">IFERROR(__xludf.DUMMYFUNCTION("""COMPUTED_VALUE"""),0)</f>
        <v>0</v>
      </c>
      <c r="X46" s="16">
        <f ca="1">IFERROR(__xludf.DUMMYFUNCTION("""COMPUTED_VALUE"""),0)</f>
        <v>0</v>
      </c>
      <c r="Y46" s="16">
        <f ca="1">IFERROR(__xludf.DUMMYFUNCTION("""COMPUTED_VALUE"""),0)</f>
        <v>0</v>
      </c>
      <c r="Z46" s="16">
        <f ca="1">IFERROR(__xludf.DUMMYFUNCTION("""COMPUTED_VALUE"""),0)</f>
        <v>0</v>
      </c>
      <c r="AA46" s="16">
        <f ca="1">IFERROR(__xludf.DUMMYFUNCTION("""COMPUTED_VALUE"""),0)</f>
        <v>0</v>
      </c>
      <c r="AB46" s="16">
        <f ca="1">IFERROR(__xludf.DUMMYFUNCTION("""COMPUTED_VALUE"""),0)</f>
        <v>0</v>
      </c>
      <c r="AC46" s="16">
        <f ca="1">IFERROR(__xludf.DUMMYFUNCTION("""COMPUTED_VALUE"""),0)</f>
        <v>0</v>
      </c>
      <c r="AD46" s="16">
        <f ca="1">IFERROR(__xludf.DUMMYFUNCTION("""COMPUTED_VALUE"""),0)</f>
        <v>0</v>
      </c>
      <c r="AE46" s="16">
        <f ca="1">IFERROR(__xludf.DUMMYFUNCTION("""COMPUTED_VALUE"""),0)</f>
        <v>0</v>
      </c>
      <c r="AF46" s="16">
        <f ca="1">IFERROR(__xludf.DUMMYFUNCTION("""COMPUTED_VALUE"""),2)</f>
        <v>2</v>
      </c>
      <c r="AG46" s="16">
        <f ca="1">IFERROR(__xludf.DUMMYFUNCTION("""COMPUTED_VALUE"""),59)</f>
        <v>59</v>
      </c>
      <c r="AH46" s="16">
        <f ca="1">IFERROR(__xludf.DUMMYFUNCTION("""COMPUTED_VALUE"""),0)</f>
        <v>0</v>
      </c>
      <c r="AI46" s="16">
        <f ca="1">IFERROR(__xludf.DUMMYFUNCTION("""COMPUTED_VALUE"""),2)</f>
        <v>2</v>
      </c>
      <c r="AJ46" s="16" t="str">
        <f ca="1">IFERROR(__xludf.DUMMYFUNCTION("""COMPUTED_VALUE"""),"")</f>
        <v/>
      </c>
      <c r="AK46" s="16" t="str">
        <f ca="1">IFERROR(__xludf.DUMMYFUNCTION("""COMPUTED_VALUE"""),"")</f>
        <v/>
      </c>
      <c r="AL46" s="16" t="str">
        <f ca="1">IFERROR(__xludf.DUMMYFUNCTION("""COMPUTED_VALUE"""),"")</f>
        <v/>
      </c>
      <c r="AM46" s="16" t="str">
        <f ca="1">IFERROR(__xludf.DUMMYFUNCTION("""COMPUTED_VALUE"""),"")</f>
        <v/>
      </c>
      <c r="AN46" s="24" t="str">
        <f ca="1">IFERROR(__xludf.DUMMYFUNCTION("""COMPUTED_VALUE"""),"")</f>
        <v/>
      </c>
    </row>
    <row r="47" spans="1:40" x14ac:dyDescent="0.2">
      <c r="A47" s="20">
        <f ca="1">IF($H47="","",IF(ISERROR(MATCH($O47,Lge_Scratch!$B:$B,0)),1,0))</f>
        <v>0</v>
      </c>
      <c r="B47" s="20">
        <f ca="1">IF($H47="","",IF(AND($AG47&gt;0,ISERROR(MATCH($O47,Lge_NonAero!$B:$B,0))),1,0))</f>
        <v>0</v>
      </c>
      <c r="C47" s="20">
        <f ca="1">IF($H47="","",IF(ISERROR(MATCH($O47,Lge_Handicap!$B:$B,0)),1,0))</f>
        <v>0</v>
      </c>
      <c r="D47" s="20">
        <f ca="1">IF($H47="","",IF(AND(LEFT($P47,3)="Wom",ISERROR(MATCH($O47,Lge_Womens!$B:$B,0))),1,0))</f>
        <v>0</v>
      </c>
      <c r="E47" s="20">
        <f ca="1">IF($H47="","",IF(AND(OR($P47="Vet",$P47="Woman Vet"),ISERROR(MATCH($O47,Lge_Veterans!$B:$B,0))),1,0))</f>
        <v>0</v>
      </c>
      <c r="F47" s="20">
        <f ca="1">IF($H47="","",IF(AND(OR($P47="Junior",$P47="Youth"),ISERROR(MATCH($O47,Lge_Junior!$B:$B,0))),1,0))</f>
        <v>0</v>
      </c>
      <c r="G47" s="20">
        <f ca="1">IF($H47="","",IF(AND($P47="Youth",ISERROR(MATCH($O47,Lge_Youth!$B:$B,0))),1,0))</f>
        <v>0</v>
      </c>
      <c r="H47" s="16" t="str">
        <f ca="1">IFERROR(__xludf.DUMMYFUNCTION("""COMPUTED_VALUE"""),"45816_Sunday League_10")</f>
        <v>45816_Sunday League_10</v>
      </c>
      <c r="I47" s="16" t="str">
        <f ca="1">IFERROR(__xludf.DUMMYFUNCTION("""COMPUTED_VALUE"""),"45816_Sunday League_10_8")</f>
        <v>45816_Sunday League_10_8</v>
      </c>
      <c r="J47" s="16">
        <f ca="1">IFERROR(__xludf.DUMMYFUNCTION("""COMPUTED_VALUE"""),13)</f>
        <v>13</v>
      </c>
      <c r="K47" s="16" t="str">
        <f ca="1">IFERROR(__xludf.DUMMYFUNCTION("""COMPUTED_VALUE"""),"Sunday League")</f>
        <v>Sunday League</v>
      </c>
      <c r="L47" s="22">
        <f ca="1">IFERROR(__xludf.DUMMYFUNCTION("""COMPUTED_VALUE"""),45816)</f>
        <v>45816</v>
      </c>
      <c r="M47" s="16">
        <f ca="1">IFERROR(__xludf.DUMMYFUNCTION("""COMPUTED_VALUE"""),10)</f>
        <v>10</v>
      </c>
      <c r="N47" s="16">
        <f ca="1">IFERROR(__xludf.DUMMYFUNCTION("""COMPUTED_VALUE"""),8)</f>
        <v>8</v>
      </c>
      <c r="O47" s="16" t="str">
        <f ca="1">IFERROR(__xludf.DUMMYFUNCTION("""COMPUTED_VALUE"""),"Adam Jones")</f>
        <v>Adam Jones</v>
      </c>
      <c r="P47" s="16" t="str">
        <f ca="1">IFERROR(__xludf.DUMMYFUNCTION("""COMPUTED_VALUE"""),"Vet")</f>
        <v>Vet</v>
      </c>
      <c r="Q47" s="23">
        <f ca="1">IFERROR(__xludf.DUMMYFUNCTION("""COMPUTED_VALUE"""),0.0201041666666666)</f>
        <v>2.01041666666666E-2</v>
      </c>
      <c r="R47" s="16" t="str">
        <f ca="1">IFERROR(__xludf.DUMMYFUNCTION("""COMPUTED_VALUE"""),"Non-aero")</f>
        <v>Non-aero</v>
      </c>
      <c r="S47" s="16">
        <f ca="1">IFERROR(__xludf.DUMMYFUNCTION("""COMPUTED_VALUE"""),54)</f>
        <v>54</v>
      </c>
      <c r="T47" s="23">
        <f ca="1">IFERROR(__xludf.DUMMYFUNCTION("""COMPUTED_VALUE"""),0.013368)</f>
        <v>1.3368E-2</v>
      </c>
      <c r="U47" s="16">
        <f ca="1">IFERROR(__xludf.DUMMYFUNCTION("""COMPUTED_VALUE"""),9)</f>
        <v>9</v>
      </c>
      <c r="V47" s="16">
        <f ca="1">IFERROR(__xludf.DUMMYFUNCTION("""COMPUTED_VALUE"""),52)</f>
        <v>52</v>
      </c>
      <c r="W47" s="23">
        <f ca="1">IFERROR(__xludf.DUMMYFUNCTION("""COMPUTED_VALUE"""),0.0193402777777777)</f>
        <v>1.9340277777777699E-2</v>
      </c>
      <c r="X47" s="16">
        <f ca="1">IFERROR(__xludf.DUMMYFUNCTION("""COMPUTED_VALUE"""),9)</f>
        <v>9</v>
      </c>
      <c r="Y47" s="16">
        <f ca="1">IFERROR(__xludf.DUMMYFUNCTION("""COMPUTED_VALUE"""),52)</f>
        <v>52</v>
      </c>
      <c r="Z47" s="16">
        <f ca="1">IFERROR(__xludf.DUMMYFUNCTION("""COMPUTED_VALUE"""),0)</f>
        <v>0</v>
      </c>
      <c r="AA47" s="16">
        <f ca="1">IFERROR(__xludf.DUMMYFUNCTION("""COMPUTED_VALUE"""),0)</f>
        <v>0</v>
      </c>
      <c r="AB47" s="16">
        <f ca="1">IFERROR(__xludf.DUMMYFUNCTION("""COMPUTED_VALUE"""),0)</f>
        <v>0</v>
      </c>
      <c r="AC47" s="16">
        <f ca="1">IFERROR(__xludf.DUMMYFUNCTION("""COMPUTED_VALUE"""),0)</f>
        <v>0</v>
      </c>
      <c r="AD47" s="16">
        <f ca="1">IFERROR(__xludf.DUMMYFUNCTION("""COMPUTED_VALUE"""),0)</f>
        <v>0</v>
      </c>
      <c r="AE47" s="16">
        <f ca="1">IFERROR(__xludf.DUMMYFUNCTION("""COMPUTED_VALUE"""),0)</f>
        <v>0</v>
      </c>
      <c r="AF47" s="16">
        <f ca="1">IFERROR(__xludf.DUMMYFUNCTION("""COMPUTED_VALUE"""),4)</f>
        <v>4</v>
      </c>
      <c r="AG47" s="16">
        <f ca="1">IFERROR(__xludf.DUMMYFUNCTION("""COMPUTED_VALUE"""),57)</f>
        <v>57</v>
      </c>
      <c r="AH47" s="16">
        <f ca="1">IFERROR(__xludf.DUMMYFUNCTION("""COMPUTED_VALUE"""),0)</f>
        <v>0</v>
      </c>
      <c r="AI47" s="16">
        <f ca="1">IFERROR(__xludf.DUMMYFUNCTION("""COMPUTED_VALUE"""),4)</f>
        <v>4</v>
      </c>
      <c r="AJ47" s="16" t="str">
        <f ca="1">IFERROR(__xludf.DUMMYFUNCTION("""COMPUTED_VALUE"""),"")</f>
        <v/>
      </c>
      <c r="AK47" s="16" t="str">
        <f ca="1">IFERROR(__xludf.DUMMYFUNCTION("""COMPUTED_VALUE"""),"")</f>
        <v/>
      </c>
      <c r="AL47" s="16" t="str">
        <f ca="1">IFERROR(__xludf.DUMMYFUNCTION("""COMPUTED_VALUE"""),"")</f>
        <v/>
      </c>
      <c r="AM47" s="16" t="str">
        <f ca="1">IFERROR(__xludf.DUMMYFUNCTION("""COMPUTED_VALUE"""),"")</f>
        <v/>
      </c>
      <c r="AN47" s="24" t="str">
        <f ca="1">IFERROR(__xludf.DUMMYFUNCTION("""COMPUTED_VALUE"""),"")</f>
        <v/>
      </c>
    </row>
    <row r="48" spans="1:40" x14ac:dyDescent="0.2">
      <c r="A48" s="20">
        <f ca="1">IF($H48="","",IF(ISERROR(MATCH($O48,Lge_Scratch!$B:$B,0)),1,0))</f>
        <v>0</v>
      </c>
      <c r="B48" s="20">
        <f ca="1">IF($H48="","",IF(AND($AG48&gt;0,ISERROR(MATCH($O48,Lge_NonAero!$B:$B,0))),1,0))</f>
        <v>0</v>
      </c>
      <c r="C48" s="20">
        <f ca="1">IF($H48="","",IF(ISERROR(MATCH($O48,Lge_Handicap!$B:$B,0)),1,0))</f>
        <v>0</v>
      </c>
      <c r="D48" s="20">
        <f ca="1">IF($H48="","",IF(AND(LEFT($P48,3)="Wom",ISERROR(MATCH($O48,Lge_Womens!$B:$B,0))),1,0))</f>
        <v>0</v>
      </c>
      <c r="E48" s="20">
        <f ca="1">IF($H48="","",IF(AND(OR($P48="Vet",$P48="Woman Vet"),ISERROR(MATCH($O48,Lge_Veterans!$B:$B,0))),1,0))</f>
        <v>0</v>
      </c>
      <c r="F48" s="20">
        <f ca="1">IF($H48="","",IF(AND(OR($P48="Junior",$P48="Youth"),ISERROR(MATCH($O48,Lge_Junior!$B:$B,0))),1,0))</f>
        <v>0</v>
      </c>
      <c r="G48" s="20">
        <f ca="1">IF($H48="","",IF(AND($P48="Youth",ISERROR(MATCH($O48,Lge_Youth!$B:$B,0))),1,0))</f>
        <v>0</v>
      </c>
      <c r="H48" s="16" t="str">
        <f ca="1">IFERROR(__xludf.DUMMYFUNCTION("""COMPUTED_VALUE"""),"45816_Sunday League_10")</f>
        <v>45816_Sunday League_10</v>
      </c>
      <c r="I48" s="16" t="str">
        <f ca="1">IFERROR(__xludf.DUMMYFUNCTION("""COMPUTED_VALUE"""),"45816_Sunday League_10_9")</f>
        <v>45816_Sunday League_10_9</v>
      </c>
      <c r="J48" s="16">
        <f ca="1">IFERROR(__xludf.DUMMYFUNCTION("""COMPUTED_VALUE"""),13)</f>
        <v>13</v>
      </c>
      <c r="K48" s="16" t="str">
        <f ca="1">IFERROR(__xludf.DUMMYFUNCTION("""COMPUTED_VALUE"""),"Sunday League")</f>
        <v>Sunday League</v>
      </c>
      <c r="L48" s="22">
        <f ca="1">IFERROR(__xludf.DUMMYFUNCTION("""COMPUTED_VALUE"""),45816)</f>
        <v>45816</v>
      </c>
      <c r="M48" s="16">
        <f ca="1">IFERROR(__xludf.DUMMYFUNCTION("""COMPUTED_VALUE"""),10)</f>
        <v>10</v>
      </c>
      <c r="N48" s="16">
        <f ca="1">IFERROR(__xludf.DUMMYFUNCTION("""COMPUTED_VALUE"""),9)</f>
        <v>9</v>
      </c>
      <c r="O48" s="16" t="str">
        <f ca="1">IFERROR(__xludf.DUMMYFUNCTION("""COMPUTED_VALUE"""),"Stuart Jago")</f>
        <v>Stuart Jago</v>
      </c>
      <c r="P48" s="16" t="str">
        <f ca="1">IFERROR(__xludf.DUMMYFUNCTION("""COMPUTED_VALUE"""),"Vet")</f>
        <v>Vet</v>
      </c>
      <c r="Q48" s="23">
        <f ca="1">IFERROR(__xludf.DUMMYFUNCTION("""COMPUTED_VALUE"""),0.0207754629629629)</f>
        <v>2.0775462962962898E-2</v>
      </c>
      <c r="R48" s="16" t="str">
        <f ca="1">IFERROR(__xludf.DUMMYFUNCTION("""COMPUTED_VALUE"""),"")</f>
        <v/>
      </c>
      <c r="S48" s="16">
        <f ca="1">IFERROR(__xludf.DUMMYFUNCTION("""COMPUTED_VALUE"""),53)</f>
        <v>53</v>
      </c>
      <c r="T48" s="23">
        <f ca="1">IFERROR(__xludf.DUMMYFUNCTION("""COMPUTED_VALUE"""),0.012627)</f>
        <v>1.2626999999999999E-2</v>
      </c>
      <c r="U48" s="16">
        <f ca="1">IFERROR(__xludf.DUMMYFUNCTION("""COMPUTED_VALUE"""),5)</f>
        <v>5</v>
      </c>
      <c r="V48" s="16">
        <f ca="1">IFERROR(__xludf.DUMMYFUNCTION("""COMPUTED_VALUE"""),56)</f>
        <v>56</v>
      </c>
      <c r="W48" s="23">
        <f ca="1">IFERROR(__xludf.DUMMYFUNCTION("""COMPUTED_VALUE"""),0.0179398148148148)</f>
        <v>1.7939814814814801E-2</v>
      </c>
      <c r="X48" s="16">
        <f ca="1">IFERROR(__xludf.DUMMYFUNCTION("""COMPUTED_VALUE"""),6)</f>
        <v>6</v>
      </c>
      <c r="Y48" s="16">
        <f ca="1">IFERROR(__xludf.DUMMYFUNCTION("""COMPUTED_VALUE"""),55)</f>
        <v>55</v>
      </c>
      <c r="Z48" s="16">
        <f ca="1">IFERROR(__xludf.DUMMYFUNCTION("""COMPUTED_VALUE"""),0)</f>
        <v>0</v>
      </c>
      <c r="AA48" s="16">
        <f ca="1">IFERROR(__xludf.DUMMYFUNCTION("""COMPUTED_VALUE"""),0)</f>
        <v>0</v>
      </c>
      <c r="AB48" s="16">
        <f ca="1">IFERROR(__xludf.DUMMYFUNCTION("""COMPUTED_VALUE"""),0)</f>
        <v>0</v>
      </c>
      <c r="AC48" s="16">
        <f ca="1">IFERROR(__xludf.DUMMYFUNCTION("""COMPUTED_VALUE"""),0)</f>
        <v>0</v>
      </c>
      <c r="AD48" s="16">
        <f ca="1">IFERROR(__xludf.DUMMYFUNCTION("""COMPUTED_VALUE"""),0)</f>
        <v>0</v>
      </c>
      <c r="AE48" s="16">
        <f ca="1">IFERROR(__xludf.DUMMYFUNCTION("""COMPUTED_VALUE"""),0)</f>
        <v>0</v>
      </c>
      <c r="AF48" s="16" t="str">
        <f ca="1">IFERROR(__xludf.DUMMYFUNCTION("""COMPUTED_VALUE"""),"")</f>
        <v/>
      </c>
      <c r="AG48" s="16">
        <f ca="1">IFERROR(__xludf.DUMMYFUNCTION("""COMPUTED_VALUE"""),0)</f>
        <v>0</v>
      </c>
      <c r="AH48" s="16">
        <f ca="1">IFERROR(__xludf.DUMMYFUNCTION("""COMPUTED_VALUE"""),0)</f>
        <v>0</v>
      </c>
      <c r="AI48" s="16" t="str">
        <f ca="1">IFERROR(__xludf.DUMMYFUNCTION("""COMPUTED_VALUE"""),"")</f>
        <v/>
      </c>
      <c r="AJ48" s="16" t="str">
        <f ca="1">IFERROR(__xludf.DUMMYFUNCTION("""COMPUTED_VALUE"""),"")</f>
        <v/>
      </c>
      <c r="AK48" s="16" t="str">
        <f ca="1">IFERROR(__xludf.DUMMYFUNCTION("""COMPUTED_VALUE"""),"")</f>
        <v/>
      </c>
      <c r="AL48" s="16" t="str">
        <f ca="1">IFERROR(__xludf.DUMMYFUNCTION("""COMPUTED_VALUE"""),"")</f>
        <v/>
      </c>
      <c r="AM48" s="16" t="str">
        <f ca="1">IFERROR(__xludf.DUMMYFUNCTION("""COMPUTED_VALUE"""),"")</f>
        <v/>
      </c>
      <c r="AN48" s="24" t="str">
        <f ca="1">IFERROR(__xludf.DUMMYFUNCTION("""COMPUTED_VALUE"""),"")</f>
        <v/>
      </c>
    </row>
    <row r="49" spans="1:40" x14ac:dyDescent="0.2">
      <c r="A49" s="20">
        <f ca="1">IF($H49="","",IF(ISERROR(MATCH($O49,Lge_Scratch!$B:$B,0)),1,0))</f>
        <v>0</v>
      </c>
      <c r="B49" s="20">
        <f ca="1">IF($H49="","",IF(AND($AG49&gt;0,ISERROR(MATCH($O49,Lge_NonAero!$B:$B,0))),1,0))</f>
        <v>0</v>
      </c>
      <c r="C49" s="20">
        <f ca="1">IF($H49="","",IF(ISERROR(MATCH($O49,Lge_Handicap!$B:$B,0)),1,0))</f>
        <v>0</v>
      </c>
      <c r="D49" s="20">
        <f ca="1">IF($H49="","",IF(AND(LEFT($P49,3)="Wom",ISERROR(MATCH($O49,Lge_Womens!$B:$B,0))),1,0))</f>
        <v>0</v>
      </c>
      <c r="E49" s="20">
        <f ca="1">IF($H49="","",IF(AND(OR($P49="Vet",$P49="Woman Vet"),ISERROR(MATCH($O49,Lge_Veterans!$B:$B,0))),1,0))</f>
        <v>0</v>
      </c>
      <c r="F49" s="20">
        <f ca="1">IF($H49="","",IF(AND(OR($P49="Junior",$P49="Youth"),ISERROR(MATCH($O49,Lge_Junior!$B:$B,0))),1,0))</f>
        <v>0</v>
      </c>
      <c r="G49" s="20">
        <f ca="1">IF($H49="","",IF(AND($P49="Youth",ISERROR(MATCH($O49,Lge_Youth!$B:$B,0))),1,0))</f>
        <v>0</v>
      </c>
      <c r="H49" s="16" t="str">
        <f ca="1">IFERROR(__xludf.DUMMYFUNCTION("""COMPUTED_VALUE"""),"45816_Sunday League_10")</f>
        <v>45816_Sunday League_10</v>
      </c>
      <c r="I49" s="16" t="str">
        <f ca="1">IFERROR(__xludf.DUMMYFUNCTION("""COMPUTED_VALUE"""),"45816_Sunday League_10_10")</f>
        <v>45816_Sunday League_10_10</v>
      </c>
      <c r="J49" s="16">
        <f ca="1">IFERROR(__xludf.DUMMYFUNCTION("""COMPUTED_VALUE"""),13)</f>
        <v>13</v>
      </c>
      <c r="K49" s="16" t="str">
        <f ca="1">IFERROR(__xludf.DUMMYFUNCTION("""COMPUTED_VALUE"""),"Sunday League")</f>
        <v>Sunday League</v>
      </c>
      <c r="L49" s="22">
        <f ca="1">IFERROR(__xludf.DUMMYFUNCTION("""COMPUTED_VALUE"""),45816)</f>
        <v>45816</v>
      </c>
      <c r="M49" s="16">
        <f ca="1">IFERROR(__xludf.DUMMYFUNCTION("""COMPUTED_VALUE"""),10)</f>
        <v>10</v>
      </c>
      <c r="N49" s="16">
        <f ca="1">IFERROR(__xludf.DUMMYFUNCTION("""COMPUTED_VALUE"""),10)</f>
        <v>10</v>
      </c>
      <c r="O49" s="16" t="str">
        <f ca="1">IFERROR(__xludf.DUMMYFUNCTION("""COMPUTED_VALUE"""),"Simon Gretton")</f>
        <v>Simon Gretton</v>
      </c>
      <c r="P49" s="16" t="str">
        <f ca="1">IFERROR(__xludf.DUMMYFUNCTION("""COMPUTED_VALUE"""),"Vet")</f>
        <v>Vet</v>
      </c>
      <c r="Q49" s="23">
        <f ca="1">IFERROR(__xludf.DUMMYFUNCTION("""COMPUTED_VALUE"""),0.0211574074074074)</f>
        <v>2.1157407407407399E-2</v>
      </c>
      <c r="R49" s="16" t="str">
        <f ca="1">IFERROR(__xludf.DUMMYFUNCTION("""COMPUTED_VALUE"""),"Non-aero PB")</f>
        <v>Non-aero PB</v>
      </c>
      <c r="S49" s="16">
        <f ca="1">IFERROR(__xludf.DUMMYFUNCTION("""COMPUTED_VALUE"""),52)</f>
        <v>52</v>
      </c>
      <c r="T49" s="23">
        <f ca="1">IFERROR(__xludf.DUMMYFUNCTION("""COMPUTED_VALUE"""),0.011771)</f>
        <v>1.1771E-2</v>
      </c>
      <c r="U49" s="16">
        <f ca="1">IFERROR(__xludf.DUMMYFUNCTION("""COMPUTED_VALUE"""),1)</f>
        <v>1</v>
      </c>
      <c r="V49" s="16">
        <f ca="1">IFERROR(__xludf.DUMMYFUNCTION("""COMPUTED_VALUE"""),60)</f>
        <v>60</v>
      </c>
      <c r="W49" s="23">
        <f ca="1">IFERROR(__xludf.DUMMYFUNCTION("""COMPUTED_VALUE"""),0.0176273148148148)</f>
        <v>1.7627314814814801E-2</v>
      </c>
      <c r="X49" s="16">
        <f ca="1">IFERROR(__xludf.DUMMYFUNCTION("""COMPUTED_VALUE"""),3)</f>
        <v>3</v>
      </c>
      <c r="Y49" s="16">
        <f ca="1">IFERROR(__xludf.DUMMYFUNCTION("""COMPUTED_VALUE"""),58)</f>
        <v>58</v>
      </c>
      <c r="Z49" s="16">
        <f ca="1">IFERROR(__xludf.DUMMYFUNCTION("""COMPUTED_VALUE"""),0)</f>
        <v>0</v>
      </c>
      <c r="AA49" s="16">
        <f ca="1">IFERROR(__xludf.DUMMYFUNCTION("""COMPUTED_VALUE"""),0)</f>
        <v>0</v>
      </c>
      <c r="AB49" s="16">
        <f ca="1">IFERROR(__xludf.DUMMYFUNCTION("""COMPUTED_VALUE"""),0)</f>
        <v>0</v>
      </c>
      <c r="AC49" s="16">
        <f ca="1">IFERROR(__xludf.DUMMYFUNCTION("""COMPUTED_VALUE"""),0)</f>
        <v>0</v>
      </c>
      <c r="AD49" s="16">
        <f ca="1">IFERROR(__xludf.DUMMYFUNCTION("""COMPUTED_VALUE"""),0)</f>
        <v>0</v>
      </c>
      <c r="AE49" s="16">
        <f ca="1">IFERROR(__xludf.DUMMYFUNCTION("""COMPUTED_VALUE"""),0)</f>
        <v>0</v>
      </c>
      <c r="AF49" s="16">
        <f ca="1">IFERROR(__xludf.DUMMYFUNCTION("""COMPUTED_VALUE"""),5)</f>
        <v>5</v>
      </c>
      <c r="AG49" s="16">
        <f ca="1">IFERROR(__xludf.DUMMYFUNCTION("""COMPUTED_VALUE"""),56)</f>
        <v>56</v>
      </c>
      <c r="AH49" s="16">
        <f ca="1">IFERROR(__xludf.DUMMYFUNCTION("""COMPUTED_VALUE"""),0)</f>
        <v>0</v>
      </c>
      <c r="AI49" s="16">
        <f ca="1">IFERROR(__xludf.DUMMYFUNCTION("""COMPUTED_VALUE"""),5)</f>
        <v>5</v>
      </c>
      <c r="AJ49" s="16" t="str">
        <f ca="1">IFERROR(__xludf.DUMMYFUNCTION("""COMPUTED_VALUE"""),"")</f>
        <v/>
      </c>
      <c r="AK49" s="16" t="str">
        <f ca="1">IFERROR(__xludf.DUMMYFUNCTION("""COMPUTED_VALUE"""),"PB")</f>
        <v>PB</v>
      </c>
      <c r="AL49" s="16" t="str">
        <f ca="1">IFERROR(__xludf.DUMMYFUNCTION("""COMPUTED_VALUE"""),"")</f>
        <v/>
      </c>
      <c r="AM49" s="16" t="str">
        <f ca="1">IFERROR(__xludf.DUMMYFUNCTION("""COMPUTED_VALUE"""),"")</f>
        <v/>
      </c>
      <c r="AN49" s="24" t="str">
        <f ca="1">IFERROR(__xludf.DUMMYFUNCTION("""COMPUTED_VALUE"""),"")</f>
        <v/>
      </c>
    </row>
    <row r="50" spans="1:40" x14ac:dyDescent="0.2">
      <c r="A50" s="20">
        <f ca="1">IF($H50="","",IF(ISERROR(MATCH($O50,Lge_Scratch!$B:$B,0)),1,0))</f>
        <v>0</v>
      </c>
      <c r="B50" s="20">
        <f ca="1">IF($H50="","",IF(AND($AG50&gt;0,ISERROR(MATCH($O50,Lge_NonAero!$B:$B,0))),1,0))</f>
        <v>0</v>
      </c>
      <c r="C50" s="20">
        <f ca="1">IF($H50="","",IF(ISERROR(MATCH($O50,Lge_Handicap!$B:$B,0)),1,0))</f>
        <v>0</v>
      </c>
      <c r="D50" s="20">
        <f ca="1">IF($H50="","",IF(AND(LEFT($P50,3)="Wom",ISERROR(MATCH($O50,Lge_Womens!$B:$B,0))),1,0))</f>
        <v>0</v>
      </c>
      <c r="E50" s="20">
        <f ca="1">IF($H50="","",IF(AND(OR($P50="Vet",$P50="Woman Vet"),ISERROR(MATCH($O50,Lge_Veterans!$B:$B,0))),1,0))</f>
        <v>0</v>
      </c>
      <c r="F50" s="20">
        <f ca="1">IF($H50="","",IF(AND(OR($P50="Junior",$P50="Youth"),ISERROR(MATCH($O50,Lge_Junior!$B:$B,0))),1,0))</f>
        <v>0</v>
      </c>
      <c r="G50" s="20">
        <f ca="1">IF($H50="","",IF(AND($P50="Youth",ISERROR(MATCH($O50,Lge_Youth!$B:$B,0))),1,0))</f>
        <v>0</v>
      </c>
      <c r="H50" s="16" t="str">
        <f ca="1">IFERROR(__xludf.DUMMYFUNCTION("""COMPUTED_VALUE"""),"45816_Sunday League_10")</f>
        <v>45816_Sunday League_10</v>
      </c>
      <c r="I50" s="16" t="str">
        <f ca="1">IFERROR(__xludf.DUMMYFUNCTION("""COMPUTED_VALUE"""),"45816_Sunday League_10_11")</f>
        <v>45816_Sunday League_10_11</v>
      </c>
      <c r="J50" s="16">
        <f ca="1">IFERROR(__xludf.DUMMYFUNCTION("""COMPUTED_VALUE"""),13)</f>
        <v>13</v>
      </c>
      <c r="K50" s="16" t="str">
        <f ca="1">IFERROR(__xludf.DUMMYFUNCTION("""COMPUTED_VALUE"""),"Sunday League")</f>
        <v>Sunday League</v>
      </c>
      <c r="L50" s="22">
        <f ca="1">IFERROR(__xludf.DUMMYFUNCTION("""COMPUTED_VALUE"""),45816)</f>
        <v>45816</v>
      </c>
      <c r="M50" s="16">
        <f ca="1">IFERROR(__xludf.DUMMYFUNCTION("""COMPUTED_VALUE"""),10)</f>
        <v>10</v>
      </c>
      <c r="N50" s="16">
        <f ca="1">IFERROR(__xludf.DUMMYFUNCTION("""COMPUTED_VALUE"""),11)</f>
        <v>11</v>
      </c>
      <c r="O50" s="16" t="str">
        <f ca="1">IFERROR(__xludf.DUMMYFUNCTION("""COMPUTED_VALUE"""),"Carol Cartwright")</f>
        <v>Carol Cartwright</v>
      </c>
      <c r="P50" s="16" t="str">
        <f ca="1">IFERROR(__xludf.DUMMYFUNCTION("""COMPUTED_VALUE"""),"Woman Vet")</f>
        <v>Woman Vet</v>
      </c>
      <c r="Q50" s="23">
        <f ca="1">IFERROR(__xludf.DUMMYFUNCTION("""COMPUTED_VALUE"""),0.0234259259259259)</f>
        <v>2.3425925925925899E-2</v>
      </c>
      <c r="R50" s="16" t="str">
        <f ca="1">IFERROR(__xludf.DUMMYFUNCTION("""COMPUTED_VALUE"""),"Non-aero")</f>
        <v>Non-aero</v>
      </c>
      <c r="S50" s="16">
        <f ca="1">IFERROR(__xludf.DUMMYFUNCTION("""COMPUTED_VALUE"""),51)</f>
        <v>51</v>
      </c>
      <c r="T50" s="23">
        <f ca="1">IFERROR(__xludf.DUMMYFUNCTION("""COMPUTED_VALUE"""),0.013206)</f>
        <v>1.3206000000000001E-2</v>
      </c>
      <c r="U50" s="16">
        <f ca="1">IFERROR(__xludf.DUMMYFUNCTION("""COMPUTED_VALUE"""),7)</f>
        <v>7</v>
      </c>
      <c r="V50" s="16">
        <f ca="1">IFERROR(__xludf.DUMMYFUNCTION("""COMPUTED_VALUE"""),54)</f>
        <v>54</v>
      </c>
      <c r="W50" s="23">
        <f ca="1">IFERROR(__xludf.DUMMYFUNCTION("""COMPUTED_VALUE"""),0.0185763888888888)</f>
        <v>1.8576388888888799E-2</v>
      </c>
      <c r="X50" s="16">
        <f ca="1">IFERROR(__xludf.DUMMYFUNCTION("""COMPUTED_VALUE"""),7)</f>
        <v>7</v>
      </c>
      <c r="Y50" s="16">
        <f ca="1">IFERROR(__xludf.DUMMYFUNCTION("""COMPUTED_VALUE"""),54)</f>
        <v>54</v>
      </c>
      <c r="Z50" s="16">
        <f ca="1">IFERROR(__xludf.DUMMYFUNCTION("""COMPUTED_VALUE"""),1)</f>
        <v>1</v>
      </c>
      <c r="AA50" s="16">
        <f ca="1">IFERROR(__xludf.DUMMYFUNCTION("""COMPUTED_VALUE"""),60)</f>
        <v>60</v>
      </c>
      <c r="AB50" s="16">
        <f ca="1">IFERROR(__xludf.DUMMYFUNCTION("""COMPUTED_VALUE"""),0)</f>
        <v>0</v>
      </c>
      <c r="AC50" s="16">
        <f ca="1">IFERROR(__xludf.DUMMYFUNCTION("""COMPUTED_VALUE"""),0)</f>
        <v>0</v>
      </c>
      <c r="AD50" s="16">
        <f ca="1">IFERROR(__xludf.DUMMYFUNCTION("""COMPUTED_VALUE"""),0)</f>
        <v>0</v>
      </c>
      <c r="AE50" s="16">
        <f ca="1">IFERROR(__xludf.DUMMYFUNCTION("""COMPUTED_VALUE"""),0)</f>
        <v>0</v>
      </c>
      <c r="AF50" s="16">
        <f ca="1">IFERROR(__xludf.DUMMYFUNCTION("""COMPUTED_VALUE"""),6)</f>
        <v>6</v>
      </c>
      <c r="AG50" s="16">
        <f ca="1">IFERROR(__xludf.DUMMYFUNCTION("""COMPUTED_VALUE"""),55)</f>
        <v>55</v>
      </c>
      <c r="AH50" s="16">
        <f ca="1">IFERROR(__xludf.DUMMYFUNCTION("""COMPUTED_VALUE"""),0)</f>
        <v>0</v>
      </c>
      <c r="AI50" s="16">
        <f ca="1">IFERROR(__xludf.DUMMYFUNCTION("""COMPUTED_VALUE"""),6)</f>
        <v>6</v>
      </c>
      <c r="AJ50" s="16" t="str">
        <f ca="1">IFERROR(__xludf.DUMMYFUNCTION("""COMPUTED_VALUE"""),"")</f>
        <v/>
      </c>
      <c r="AK50" s="16" t="str">
        <f ca="1">IFERROR(__xludf.DUMMYFUNCTION("""COMPUTED_VALUE"""),"")</f>
        <v/>
      </c>
      <c r="AL50" s="16" t="str">
        <f ca="1">IFERROR(__xludf.DUMMYFUNCTION("""COMPUTED_VALUE"""),"")</f>
        <v/>
      </c>
      <c r="AM50" s="16" t="str">
        <f ca="1">IFERROR(__xludf.DUMMYFUNCTION("""COMPUTED_VALUE"""),"")</f>
        <v/>
      </c>
      <c r="AN50" s="24" t="str">
        <f ca="1">IFERROR(__xludf.DUMMYFUNCTION("""COMPUTED_VALUE"""),"")</f>
        <v/>
      </c>
    </row>
    <row r="51" spans="1:40" x14ac:dyDescent="0.2">
      <c r="A51" s="20">
        <f ca="1">IF($H51="","",IF(ISERROR(MATCH($O51,Lge_Scratch!$B:$B,0)),1,0))</f>
        <v>0</v>
      </c>
      <c r="B51" s="20">
        <f ca="1">IF($H51="","",IF(AND($AG51&gt;0,ISERROR(MATCH($O51,Lge_NonAero!$B:$B,0))),1,0))</f>
        <v>0</v>
      </c>
      <c r="C51" s="20">
        <f ca="1">IF($H51="","",IF(ISERROR(MATCH($O51,Lge_Handicap!$B:$B,0)),1,0))</f>
        <v>0</v>
      </c>
      <c r="D51" s="20">
        <f ca="1">IF($H51="","",IF(AND(LEFT($P51,3)="Wom",ISERROR(MATCH($O51,Lge_Womens!$B:$B,0))),1,0))</f>
        <v>0</v>
      </c>
      <c r="E51" s="20">
        <f ca="1">IF($H51="","",IF(AND(OR($P51="Vet",$P51="Woman Vet"),ISERROR(MATCH($O51,Lge_Veterans!$B:$B,0))),1,0))</f>
        <v>0</v>
      </c>
      <c r="F51" s="20">
        <f ca="1">IF($H51="","",IF(AND(OR($P51="Junior",$P51="Youth"),ISERROR(MATCH($O51,Lge_Junior!$B:$B,0))),1,0))</f>
        <v>0</v>
      </c>
      <c r="G51" s="20">
        <f ca="1">IF($H51="","",IF(AND($P51="Youth",ISERROR(MATCH($O51,Lge_Youth!$B:$B,0))),1,0))</f>
        <v>0</v>
      </c>
      <c r="H51" s="16" t="str">
        <f ca="1">IFERROR(__xludf.DUMMYFUNCTION("""COMPUTED_VALUE"""),"45816_Sunday League_10")</f>
        <v>45816_Sunday League_10</v>
      </c>
      <c r="I51" s="16" t="str">
        <f ca="1">IFERROR(__xludf.DUMMYFUNCTION("""COMPUTED_VALUE"""),"45816_Sunday League_10_12")</f>
        <v>45816_Sunday League_10_12</v>
      </c>
      <c r="J51" s="16">
        <f ca="1">IFERROR(__xludf.DUMMYFUNCTION("""COMPUTED_VALUE"""),13)</f>
        <v>13</v>
      </c>
      <c r="K51" s="16" t="str">
        <f ca="1">IFERROR(__xludf.DUMMYFUNCTION("""COMPUTED_VALUE"""),"Sunday League")</f>
        <v>Sunday League</v>
      </c>
      <c r="L51" s="22">
        <f ca="1">IFERROR(__xludf.DUMMYFUNCTION("""COMPUTED_VALUE"""),45816)</f>
        <v>45816</v>
      </c>
      <c r="M51" s="16">
        <f ca="1">IFERROR(__xludf.DUMMYFUNCTION("""COMPUTED_VALUE"""),10)</f>
        <v>10</v>
      </c>
      <c r="N51" s="16">
        <f ca="1">IFERROR(__xludf.DUMMYFUNCTION("""COMPUTED_VALUE"""),12)</f>
        <v>12</v>
      </c>
      <c r="O51" s="16" t="str">
        <f ca="1">IFERROR(__xludf.DUMMYFUNCTION("""COMPUTED_VALUE"""),"Elaine Cotton")</f>
        <v>Elaine Cotton</v>
      </c>
      <c r="P51" s="16" t="str">
        <f ca="1">IFERROR(__xludf.DUMMYFUNCTION("""COMPUTED_VALUE"""),"Woman Vet")</f>
        <v>Woman Vet</v>
      </c>
      <c r="Q51" s="23">
        <f ca="1">IFERROR(__xludf.DUMMYFUNCTION("""COMPUTED_VALUE"""),0.0244791666666666)</f>
        <v>2.4479166666666601E-2</v>
      </c>
      <c r="R51" s="16" t="str">
        <f ca="1">IFERROR(__xludf.DUMMYFUNCTION("""COMPUTED_VALUE"""),"Non-aero")</f>
        <v>Non-aero</v>
      </c>
      <c r="S51" s="16">
        <f ca="1">IFERROR(__xludf.DUMMYFUNCTION("""COMPUTED_VALUE"""),50)</f>
        <v>50</v>
      </c>
      <c r="T51" s="23">
        <f ca="1">IFERROR(__xludf.DUMMYFUNCTION("""COMPUTED_VALUE"""),0.013472)</f>
        <v>1.3472E-2</v>
      </c>
      <c r="U51" s="16">
        <f ca="1">IFERROR(__xludf.DUMMYFUNCTION("""COMPUTED_VALUE"""),10)</f>
        <v>10</v>
      </c>
      <c r="V51" s="16">
        <f ca="1">IFERROR(__xludf.DUMMYFUNCTION("""COMPUTED_VALUE"""),51)</f>
        <v>51</v>
      </c>
      <c r="W51" s="23">
        <f ca="1">IFERROR(__xludf.DUMMYFUNCTION("""COMPUTED_VALUE"""),0.0216550925925925)</f>
        <v>2.16550925925925E-2</v>
      </c>
      <c r="X51" s="16">
        <f ca="1">IFERROR(__xludf.DUMMYFUNCTION("""COMPUTED_VALUE"""),10)</f>
        <v>10</v>
      </c>
      <c r="Y51" s="16">
        <f ca="1">IFERROR(__xludf.DUMMYFUNCTION("""COMPUTED_VALUE"""),51)</f>
        <v>51</v>
      </c>
      <c r="Z51" s="16">
        <f ca="1">IFERROR(__xludf.DUMMYFUNCTION("""COMPUTED_VALUE"""),2)</f>
        <v>2</v>
      </c>
      <c r="AA51" s="16">
        <f ca="1">IFERROR(__xludf.DUMMYFUNCTION("""COMPUTED_VALUE"""),59)</f>
        <v>59</v>
      </c>
      <c r="AB51" s="16">
        <f ca="1">IFERROR(__xludf.DUMMYFUNCTION("""COMPUTED_VALUE"""),0)</f>
        <v>0</v>
      </c>
      <c r="AC51" s="16">
        <f ca="1">IFERROR(__xludf.DUMMYFUNCTION("""COMPUTED_VALUE"""),0)</f>
        <v>0</v>
      </c>
      <c r="AD51" s="16">
        <f ca="1">IFERROR(__xludf.DUMMYFUNCTION("""COMPUTED_VALUE"""),0)</f>
        <v>0</v>
      </c>
      <c r="AE51" s="16">
        <f ca="1">IFERROR(__xludf.DUMMYFUNCTION("""COMPUTED_VALUE"""),0)</f>
        <v>0</v>
      </c>
      <c r="AF51" s="16">
        <f ca="1">IFERROR(__xludf.DUMMYFUNCTION("""COMPUTED_VALUE"""),7)</f>
        <v>7</v>
      </c>
      <c r="AG51" s="16">
        <f ca="1">IFERROR(__xludf.DUMMYFUNCTION("""COMPUTED_VALUE"""),54)</f>
        <v>54</v>
      </c>
      <c r="AH51" s="16">
        <f ca="1">IFERROR(__xludf.DUMMYFUNCTION("""COMPUTED_VALUE"""),0)</f>
        <v>0</v>
      </c>
      <c r="AI51" s="16">
        <f ca="1">IFERROR(__xludf.DUMMYFUNCTION("""COMPUTED_VALUE"""),7)</f>
        <v>7</v>
      </c>
      <c r="AJ51" s="16" t="str">
        <f ca="1">IFERROR(__xludf.DUMMYFUNCTION("""COMPUTED_VALUE"""),"")</f>
        <v/>
      </c>
      <c r="AK51" s="16" t="str">
        <f ca="1">IFERROR(__xludf.DUMMYFUNCTION("""COMPUTED_VALUE"""),"")</f>
        <v/>
      </c>
      <c r="AL51" s="16" t="str">
        <f ca="1">IFERROR(__xludf.DUMMYFUNCTION("""COMPUTED_VALUE"""),"")</f>
        <v/>
      </c>
      <c r="AM51" s="16" t="str">
        <f ca="1">IFERROR(__xludf.DUMMYFUNCTION("""COMPUTED_VALUE"""),"")</f>
        <v/>
      </c>
      <c r="AN51" s="24" t="str">
        <f ca="1">IFERROR(__xludf.DUMMYFUNCTION("""COMPUTED_VALUE"""),"")</f>
        <v/>
      </c>
    </row>
    <row r="52" spans="1:40" x14ac:dyDescent="0.2">
      <c r="A52" s="20">
        <f ca="1">IF($H52="","",IF(ISERROR(MATCH($O52,Lge_Scratch!$B:$B,0)),1,0))</f>
        <v>0</v>
      </c>
      <c r="B52" s="20">
        <f ca="1">IF($H52="","",IF(AND($AG52&gt;0,ISERROR(MATCH($O52,Lge_NonAero!$B:$B,0))),1,0))</f>
        <v>0</v>
      </c>
      <c r="C52" s="20">
        <f ca="1">IF($H52="","",IF(ISERROR(MATCH($O52,Lge_Handicap!$B:$B,0)),1,0))</f>
        <v>0</v>
      </c>
      <c r="D52" s="20">
        <f ca="1">IF($H52="","",IF(AND(LEFT($P52,3)="Wom",ISERROR(MATCH($O52,Lge_Womens!$B:$B,0))),1,0))</f>
        <v>0</v>
      </c>
      <c r="E52" s="20">
        <f ca="1">IF($H52="","",IF(AND(OR($P52="Vet",$P52="Woman Vet"),ISERROR(MATCH($O52,Lge_Veterans!$B:$B,0))),1,0))</f>
        <v>0</v>
      </c>
      <c r="F52" s="20">
        <f ca="1">IF($H52="","",IF(AND(OR($P52="Junior",$P52="Youth"),ISERROR(MATCH($O52,Lge_Junior!$B:$B,0))),1,0))</f>
        <v>0</v>
      </c>
      <c r="G52" s="20">
        <f ca="1">IF($H52="","",IF(AND($P52="Youth",ISERROR(MATCH($O52,Lge_Youth!$B:$B,0))),1,0))</f>
        <v>0</v>
      </c>
      <c r="H52" s="16" t="str">
        <f ca="1">IFERROR(__xludf.DUMMYFUNCTION("""COMPUTED_VALUE"""),"45816_Sunday League_10")</f>
        <v>45816_Sunday League_10</v>
      </c>
      <c r="I52" s="16" t="str">
        <f ca="1">IFERROR(__xludf.DUMMYFUNCTION("""COMPUTED_VALUE"""),"45816_Sunday League_10_13")</f>
        <v>45816_Sunday League_10_13</v>
      </c>
      <c r="J52" s="16">
        <f ca="1">IFERROR(__xludf.DUMMYFUNCTION("""COMPUTED_VALUE"""),13)</f>
        <v>13</v>
      </c>
      <c r="K52" s="16" t="str">
        <f ca="1">IFERROR(__xludf.DUMMYFUNCTION("""COMPUTED_VALUE"""),"Sunday League")</f>
        <v>Sunday League</v>
      </c>
      <c r="L52" s="22">
        <f ca="1">IFERROR(__xludf.DUMMYFUNCTION("""COMPUTED_VALUE"""),45816)</f>
        <v>45816</v>
      </c>
      <c r="M52" s="16">
        <f ca="1">IFERROR(__xludf.DUMMYFUNCTION("""COMPUTED_VALUE"""),10)</f>
        <v>10</v>
      </c>
      <c r="N52" s="16">
        <f ca="1">IFERROR(__xludf.DUMMYFUNCTION("""COMPUTED_VALUE"""),13)</f>
        <v>13</v>
      </c>
      <c r="O52" s="16" t="str">
        <f ca="1">IFERROR(__xludf.DUMMYFUNCTION("""COMPUTED_VALUE"""),"Kevin Smith")</f>
        <v>Kevin Smith</v>
      </c>
      <c r="P52" s="16" t="str">
        <f ca="1">IFERROR(__xludf.DUMMYFUNCTION("""COMPUTED_VALUE"""),"Vet")</f>
        <v>Vet</v>
      </c>
      <c r="Q52" s="23">
        <f ca="1">IFERROR(__xludf.DUMMYFUNCTION("""COMPUTED_VALUE"""),0.0248032407407407)</f>
        <v>2.4803240740740699E-2</v>
      </c>
      <c r="R52" s="16" t="str">
        <f ca="1">IFERROR(__xludf.DUMMYFUNCTION("""COMPUTED_VALUE"""),"Non-aero")</f>
        <v>Non-aero</v>
      </c>
      <c r="S52" s="16">
        <f ca="1">IFERROR(__xludf.DUMMYFUNCTION("""COMPUTED_VALUE"""),49)</f>
        <v>49</v>
      </c>
      <c r="T52" s="23">
        <f ca="1">IFERROR(__xludf.DUMMYFUNCTION("""COMPUTED_VALUE"""),0.013299)</f>
        <v>1.3299E-2</v>
      </c>
      <c r="U52" s="16">
        <f ca="1">IFERROR(__xludf.DUMMYFUNCTION("""COMPUTED_VALUE"""),8)</f>
        <v>8</v>
      </c>
      <c r="V52" s="16">
        <f ca="1">IFERROR(__xludf.DUMMYFUNCTION("""COMPUTED_VALUE"""),53)</f>
        <v>53</v>
      </c>
      <c r="W52" s="23">
        <f ca="1">IFERROR(__xludf.DUMMYFUNCTION("""COMPUTED_VALUE"""),0.0230671296296296)</f>
        <v>2.3067129629629601E-2</v>
      </c>
      <c r="X52" s="16">
        <f ca="1">IFERROR(__xludf.DUMMYFUNCTION("""COMPUTED_VALUE"""),11)</f>
        <v>11</v>
      </c>
      <c r="Y52" s="16">
        <f ca="1">IFERROR(__xludf.DUMMYFUNCTION("""COMPUTED_VALUE"""),50)</f>
        <v>50</v>
      </c>
      <c r="Z52" s="16">
        <f ca="1">IFERROR(__xludf.DUMMYFUNCTION("""COMPUTED_VALUE"""),2)</f>
        <v>2</v>
      </c>
      <c r="AA52" s="16">
        <f ca="1">IFERROR(__xludf.DUMMYFUNCTION("""COMPUTED_VALUE"""),0)</f>
        <v>0</v>
      </c>
      <c r="AB52" s="16">
        <f ca="1">IFERROR(__xludf.DUMMYFUNCTION("""COMPUTED_VALUE"""),0)</f>
        <v>0</v>
      </c>
      <c r="AC52" s="16">
        <f ca="1">IFERROR(__xludf.DUMMYFUNCTION("""COMPUTED_VALUE"""),0)</f>
        <v>0</v>
      </c>
      <c r="AD52" s="16">
        <f ca="1">IFERROR(__xludf.DUMMYFUNCTION("""COMPUTED_VALUE"""),0)</f>
        <v>0</v>
      </c>
      <c r="AE52" s="16">
        <f ca="1">IFERROR(__xludf.DUMMYFUNCTION("""COMPUTED_VALUE"""),0)</f>
        <v>0</v>
      </c>
      <c r="AF52" s="16">
        <f ca="1">IFERROR(__xludf.DUMMYFUNCTION("""COMPUTED_VALUE"""),8)</f>
        <v>8</v>
      </c>
      <c r="AG52" s="16">
        <f ca="1">IFERROR(__xludf.DUMMYFUNCTION("""COMPUTED_VALUE"""),53)</f>
        <v>53</v>
      </c>
      <c r="AH52" s="16">
        <f ca="1">IFERROR(__xludf.DUMMYFUNCTION("""COMPUTED_VALUE"""),0)</f>
        <v>0</v>
      </c>
      <c r="AI52" s="16">
        <f ca="1">IFERROR(__xludf.DUMMYFUNCTION("""COMPUTED_VALUE"""),8)</f>
        <v>8</v>
      </c>
      <c r="AJ52" s="16" t="str">
        <f ca="1">IFERROR(__xludf.DUMMYFUNCTION("""COMPUTED_VALUE"""),"")</f>
        <v/>
      </c>
      <c r="AK52" s="16" t="str">
        <f ca="1">IFERROR(__xludf.DUMMYFUNCTION("""COMPUTED_VALUE"""),"")</f>
        <v/>
      </c>
      <c r="AL52" s="16" t="str">
        <f ca="1">IFERROR(__xludf.DUMMYFUNCTION("""COMPUTED_VALUE"""),"")</f>
        <v/>
      </c>
      <c r="AM52" s="16" t="str">
        <f ca="1">IFERROR(__xludf.DUMMYFUNCTION("""COMPUTED_VALUE"""),"")</f>
        <v/>
      </c>
      <c r="AN52" s="24" t="str">
        <f ca="1">IFERROR(__xludf.DUMMYFUNCTION("""COMPUTED_VALUE"""),"")</f>
        <v/>
      </c>
    </row>
    <row r="53" spans="1:40" x14ac:dyDescent="0.2">
      <c r="A53" s="20">
        <f ca="1">IF($H53="","",IF(ISERROR(MATCH($O53,Lge_Scratch!$B:$B,0)),1,0))</f>
        <v>0</v>
      </c>
      <c r="B53" s="20">
        <f ca="1">IF($H53="","",IF(AND($AG53&gt;0,ISERROR(MATCH($O53,Lge_NonAero!$B:$B,0))),1,0))</f>
        <v>0</v>
      </c>
      <c r="C53" s="20">
        <f ca="1">IF($H53="","",IF(ISERROR(MATCH($O53,Lge_Handicap!$B:$B,0)),1,0))</f>
        <v>0</v>
      </c>
      <c r="D53" s="20">
        <f ca="1">IF($H53="","",IF(AND(LEFT($P53,3)="Wom",ISERROR(MATCH($O53,Lge_Womens!$B:$B,0))),1,0))</f>
        <v>0</v>
      </c>
      <c r="E53" s="20">
        <f ca="1">IF($H53="","",IF(AND(OR($P53="Vet",$P53="Woman Vet"),ISERROR(MATCH($O53,Lge_Veterans!$B:$B,0))),1,0))</f>
        <v>0</v>
      </c>
      <c r="F53" s="20">
        <f ca="1">IF($H53="","",IF(AND(OR($P53="Junior",$P53="Youth"),ISERROR(MATCH($O53,Lge_Junior!$B:$B,0))),1,0))</f>
        <v>0</v>
      </c>
      <c r="G53" s="20">
        <f ca="1">IF($H53="","",IF(AND($P53="Youth",ISERROR(MATCH($O53,Lge_Youth!$B:$B,0))),1,0))</f>
        <v>0</v>
      </c>
      <c r="H53" s="16" t="str">
        <f ca="1">IFERROR(__xludf.DUMMYFUNCTION("""COMPUTED_VALUE"""),"45837_Sunday League_50")</f>
        <v>45837_Sunday League_50</v>
      </c>
      <c r="I53" s="16" t="str">
        <f ca="1">IFERROR(__xludf.DUMMYFUNCTION("""COMPUTED_VALUE"""),"45837_Sunday League_50_1")</f>
        <v>45837_Sunday League_50_1</v>
      </c>
      <c r="J53" s="16">
        <f ca="1">IFERROR(__xludf.DUMMYFUNCTION("""COMPUTED_VALUE"""),7)</f>
        <v>7</v>
      </c>
      <c r="K53" s="16" t="str">
        <f ca="1">IFERROR(__xludf.DUMMYFUNCTION("""COMPUTED_VALUE"""),"Sunday League")</f>
        <v>Sunday League</v>
      </c>
      <c r="L53" s="22">
        <f ca="1">IFERROR(__xludf.DUMMYFUNCTION("""COMPUTED_VALUE"""),45837)</f>
        <v>45837</v>
      </c>
      <c r="M53" s="16">
        <f ca="1">IFERROR(__xludf.DUMMYFUNCTION("""COMPUTED_VALUE"""),50)</f>
        <v>50</v>
      </c>
      <c r="N53" s="16">
        <f ca="1">IFERROR(__xludf.DUMMYFUNCTION("""COMPUTED_VALUE"""),1)</f>
        <v>1</v>
      </c>
      <c r="O53" s="16" t="str">
        <f ca="1">IFERROR(__xludf.DUMMYFUNCTION("""COMPUTED_VALUE"""),"Henry O'Kill")</f>
        <v>Henry O'Kill</v>
      </c>
      <c r="P53" s="16" t="str">
        <f ca="1">IFERROR(__xludf.DUMMYFUNCTION("""COMPUTED_VALUE"""),"Senior")</f>
        <v>Senior</v>
      </c>
      <c r="Q53" s="23">
        <f ca="1">IFERROR(__xludf.DUMMYFUNCTION("""COMPUTED_VALUE"""),0.0812962962962963)</f>
        <v>8.1296296296296297E-2</v>
      </c>
      <c r="R53" s="16" t="str">
        <f ca="1">IFERROR(__xludf.DUMMYFUNCTION("""COMPUTED_VALUE"""),"")</f>
        <v/>
      </c>
      <c r="S53" s="16">
        <f ca="1">IFERROR(__xludf.DUMMYFUNCTION("""COMPUTED_VALUE"""),60)</f>
        <v>60</v>
      </c>
      <c r="T53" s="23">
        <f ca="1">IFERROR(__xludf.DUMMYFUNCTION("""COMPUTED_VALUE"""),0.06316)</f>
        <v>6.3159999999999994E-2</v>
      </c>
      <c r="U53" s="16">
        <f ca="1">IFERROR(__xludf.DUMMYFUNCTION("""COMPUTED_VALUE"""),7)</f>
        <v>7</v>
      </c>
      <c r="V53" s="16">
        <f ca="1">IFERROR(__xludf.DUMMYFUNCTION("""COMPUTED_VALUE"""),54)</f>
        <v>54</v>
      </c>
      <c r="W53" s="23">
        <f ca="1">IFERROR(__xludf.DUMMYFUNCTION("""COMPUTED_VALUE"""),0)</f>
        <v>0</v>
      </c>
      <c r="X53" s="16">
        <f ca="1">IFERROR(__xludf.DUMMYFUNCTION("""COMPUTED_VALUE"""),0)</f>
        <v>0</v>
      </c>
      <c r="Y53" s="16">
        <f ca="1">IFERROR(__xludf.DUMMYFUNCTION("""COMPUTED_VALUE"""),0)</f>
        <v>0</v>
      </c>
      <c r="Z53" s="16">
        <f ca="1">IFERROR(__xludf.DUMMYFUNCTION("""COMPUTED_VALUE"""),0)</f>
        <v>0</v>
      </c>
      <c r="AA53" s="16">
        <f ca="1">IFERROR(__xludf.DUMMYFUNCTION("""COMPUTED_VALUE"""),0)</f>
        <v>0</v>
      </c>
      <c r="AB53" s="16">
        <f ca="1">IFERROR(__xludf.DUMMYFUNCTION("""COMPUTED_VALUE"""),0)</f>
        <v>0</v>
      </c>
      <c r="AC53" s="16">
        <f ca="1">IFERROR(__xludf.DUMMYFUNCTION("""COMPUTED_VALUE"""),0)</f>
        <v>0</v>
      </c>
      <c r="AD53" s="16">
        <f ca="1">IFERROR(__xludf.DUMMYFUNCTION("""COMPUTED_VALUE"""),0)</f>
        <v>0</v>
      </c>
      <c r="AE53" s="16">
        <f ca="1">IFERROR(__xludf.DUMMYFUNCTION("""COMPUTED_VALUE"""),0)</f>
        <v>0</v>
      </c>
      <c r="AF53" s="16" t="str">
        <f ca="1">IFERROR(__xludf.DUMMYFUNCTION("""COMPUTED_VALUE"""),"")</f>
        <v/>
      </c>
      <c r="AG53" s="16">
        <f ca="1">IFERROR(__xludf.DUMMYFUNCTION("""COMPUTED_VALUE"""),0)</f>
        <v>0</v>
      </c>
      <c r="AH53" s="16">
        <f ca="1">IFERROR(__xludf.DUMMYFUNCTION("""COMPUTED_VALUE"""),0)</f>
        <v>0</v>
      </c>
      <c r="AI53" s="16" t="str">
        <f ca="1">IFERROR(__xludf.DUMMYFUNCTION("""COMPUTED_VALUE"""),"")</f>
        <v/>
      </c>
      <c r="AJ53" s="16" t="str">
        <f ca="1">IFERROR(__xludf.DUMMYFUNCTION("""COMPUTED_VALUE"""),"")</f>
        <v/>
      </c>
      <c r="AK53" s="16" t="str">
        <f ca="1">IFERROR(__xludf.DUMMYFUNCTION("""COMPUTED_VALUE"""),"")</f>
        <v/>
      </c>
      <c r="AL53" s="16" t="str">
        <f ca="1">IFERROR(__xludf.DUMMYFUNCTION("""COMPUTED_VALUE"""),"")</f>
        <v/>
      </c>
      <c r="AM53" s="16" t="str">
        <f ca="1">IFERROR(__xludf.DUMMYFUNCTION("""COMPUTED_VALUE"""),"")</f>
        <v/>
      </c>
      <c r="AN53" s="24" t="str">
        <f ca="1">IFERROR(__xludf.DUMMYFUNCTION("""COMPUTED_VALUE"""),"")</f>
        <v/>
      </c>
    </row>
    <row r="54" spans="1:40" x14ac:dyDescent="0.2">
      <c r="A54" s="20">
        <f ca="1">IF($H54="","",IF(ISERROR(MATCH($O54,Lge_Scratch!$B:$B,0)),1,0))</f>
        <v>0</v>
      </c>
      <c r="B54" s="20">
        <f ca="1">IF($H54="","",IF(AND($AG54&gt;0,ISERROR(MATCH($O54,Lge_NonAero!$B:$B,0))),1,0))</f>
        <v>0</v>
      </c>
      <c r="C54" s="20">
        <f ca="1">IF($H54="","",IF(ISERROR(MATCH($O54,Lge_Handicap!$B:$B,0)),1,0))</f>
        <v>0</v>
      </c>
      <c r="D54" s="20">
        <f ca="1">IF($H54="","",IF(AND(LEFT($P54,3)="Wom",ISERROR(MATCH($O54,Lge_Womens!$B:$B,0))),1,0))</f>
        <v>0</v>
      </c>
      <c r="E54" s="20">
        <f ca="1">IF($H54="","",IF(AND(OR($P54="Vet",$P54="Woman Vet"),ISERROR(MATCH($O54,Lge_Veterans!$B:$B,0))),1,0))</f>
        <v>0</v>
      </c>
      <c r="F54" s="20">
        <f ca="1">IF($H54="","",IF(AND(OR($P54="Junior",$P54="Youth"),ISERROR(MATCH($O54,Lge_Junior!$B:$B,0))),1,0))</f>
        <v>0</v>
      </c>
      <c r="G54" s="20">
        <f ca="1">IF($H54="","",IF(AND($P54="Youth",ISERROR(MATCH($O54,Lge_Youth!$B:$B,0))),1,0))</f>
        <v>0</v>
      </c>
      <c r="H54" s="16" t="str">
        <f ca="1">IFERROR(__xludf.DUMMYFUNCTION("""COMPUTED_VALUE"""),"45837_Sunday League_50")</f>
        <v>45837_Sunday League_50</v>
      </c>
      <c r="I54" s="16" t="str">
        <f ca="1">IFERROR(__xludf.DUMMYFUNCTION("""COMPUTED_VALUE"""),"45837_Sunday League_50_2")</f>
        <v>45837_Sunday League_50_2</v>
      </c>
      <c r="J54" s="16">
        <f ca="1">IFERROR(__xludf.DUMMYFUNCTION("""COMPUTED_VALUE"""),7)</f>
        <v>7</v>
      </c>
      <c r="K54" s="16" t="str">
        <f ca="1">IFERROR(__xludf.DUMMYFUNCTION("""COMPUTED_VALUE"""),"Sunday League")</f>
        <v>Sunday League</v>
      </c>
      <c r="L54" s="22">
        <f ca="1">IFERROR(__xludf.DUMMYFUNCTION("""COMPUTED_VALUE"""),45837)</f>
        <v>45837</v>
      </c>
      <c r="M54" s="16">
        <f ca="1">IFERROR(__xludf.DUMMYFUNCTION("""COMPUTED_VALUE"""),50)</f>
        <v>50</v>
      </c>
      <c r="N54" s="16">
        <f ca="1">IFERROR(__xludf.DUMMYFUNCTION("""COMPUTED_VALUE"""),2)</f>
        <v>2</v>
      </c>
      <c r="O54" s="16" t="str">
        <f ca="1">IFERROR(__xludf.DUMMYFUNCTION("""COMPUTED_VALUE"""),"Philip Brant")</f>
        <v>Philip Brant</v>
      </c>
      <c r="P54" s="16" t="str">
        <f ca="1">IFERROR(__xludf.DUMMYFUNCTION("""COMPUTED_VALUE"""),"Vet")</f>
        <v>Vet</v>
      </c>
      <c r="Q54" s="23">
        <f ca="1">IFERROR(__xludf.DUMMYFUNCTION("""COMPUTED_VALUE"""),0.0897685185185185)</f>
        <v>8.9768518518518498E-2</v>
      </c>
      <c r="R54" s="16" t="str">
        <f ca="1">IFERROR(__xludf.DUMMYFUNCTION("""COMPUTED_VALUE"""),"PB")</f>
        <v>PB</v>
      </c>
      <c r="S54" s="16">
        <f ca="1">IFERROR(__xludf.DUMMYFUNCTION("""COMPUTED_VALUE"""),59)</f>
        <v>59</v>
      </c>
      <c r="T54" s="23">
        <f ca="1">IFERROR(__xludf.DUMMYFUNCTION("""COMPUTED_VALUE"""),0.061725)</f>
        <v>6.1725000000000002E-2</v>
      </c>
      <c r="U54" s="16">
        <f ca="1">IFERROR(__xludf.DUMMYFUNCTION("""COMPUTED_VALUE"""),1)</f>
        <v>1</v>
      </c>
      <c r="V54" s="16">
        <f ca="1">IFERROR(__xludf.DUMMYFUNCTION("""COMPUTED_VALUE"""),60)</f>
        <v>60</v>
      </c>
      <c r="W54" s="23">
        <f ca="1">IFERROR(__xludf.DUMMYFUNCTION("""COMPUTED_VALUE"""),0.0755092592592592)</f>
        <v>7.5509259259259207E-2</v>
      </c>
      <c r="X54" s="16">
        <f ca="1">IFERROR(__xludf.DUMMYFUNCTION("""COMPUTED_VALUE"""),1)</f>
        <v>1</v>
      </c>
      <c r="Y54" s="16">
        <f ca="1">IFERROR(__xludf.DUMMYFUNCTION("""COMPUTED_VALUE"""),60)</f>
        <v>60</v>
      </c>
      <c r="Z54" s="16">
        <f ca="1">IFERROR(__xludf.DUMMYFUNCTION("""COMPUTED_VALUE"""),0)</f>
        <v>0</v>
      </c>
      <c r="AA54" s="16">
        <f ca="1">IFERROR(__xludf.DUMMYFUNCTION("""COMPUTED_VALUE"""),0)</f>
        <v>0</v>
      </c>
      <c r="AB54" s="16">
        <f ca="1">IFERROR(__xludf.DUMMYFUNCTION("""COMPUTED_VALUE"""),0)</f>
        <v>0</v>
      </c>
      <c r="AC54" s="16">
        <f ca="1">IFERROR(__xludf.DUMMYFUNCTION("""COMPUTED_VALUE"""),0)</f>
        <v>0</v>
      </c>
      <c r="AD54" s="16">
        <f ca="1">IFERROR(__xludf.DUMMYFUNCTION("""COMPUTED_VALUE"""),0)</f>
        <v>0</v>
      </c>
      <c r="AE54" s="16">
        <f ca="1">IFERROR(__xludf.DUMMYFUNCTION("""COMPUTED_VALUE"""),0)</f>
        <v>0</v>
      </c>
      <c r="AF54" s="16" t="str">
        <f ca="1">IFERROR(__xludf.DUMMYFUNCTION("""COMPUTED_VALUE"""),"")</f>
        <v/>
      </c>
      <c r="AG54" s="16">
        <f ca="1">IFERROR(__xludf.DUMMYFUNCTION("""COMPUTED_VALUE"""),0)</f>
        <v>0</v>
      </c>
      <c r="AH54" s="16">
        <f ca="1">IFERROR(__xludf.DUMMYFUNCTION("""COMPUTED_VALUE"""),0)</f>
        <v>0</v>
      </c>
      <c r="AI54" s="16" t="str">
        <f ca="1">IFERROR(__xludf.DUMMYFUNCTION("""COMPUTED_VALUE"""),"")</f>
        <v/>
      </c>
      <c r="AJ54" s="16" t="str">
        <f ca="1">IFERROR(__xludf.DUMMYFUNCTION("""COMPUTED_VALUE"""),"")</f>
        <v/>
      </c>
      <c r="AK54" s="16" t="str">
        <f ca="1">IFERROR(__xludf.DUMMYFUNCTION("""COMPUTED_VALUE"""),"PB")</f>
        <v>PB</v>
      </c>
      <c r="AL54" s="16" t="str">
        <f ca="1">IFERROR(__xludf.DUMMYFUNCTION("""COMPUTED_VALUE"""),"")</f>
        <v/>
      </c>
      <c r="AM54" s="16" t="str">
        <f ca="1">IFERROR(__xludf.DUMMYFUNCTION("""COMPUTED_VALUE"""),"")</f>
        <v/>
      </c>
      <c r="AN54" s="24" t="str">
        <f ca="1">IFERROR(__xludf.DUMMYFUNCTION("""COMPUTED_VALUE"""),"")</f>
        <v/>
      </c>
    </row>
    <row r="55" spans="1:40" x14ac:dyDescent="0.2">
      <c r="A55" s="20">
        <f ca="1">IF($H55="","",IF(ISERROR(MATCH($O55,Lge_Scratch!$B:$B,0)),1,0))</f>
        <v>0</v>
      </c>
      <c r="B55" s="20">
        <f ca="1">IF($H55="","",IF(AND($AG55&gt;0,ISERROR(MATCH($O55,Lge_NonAero!$B:$B,0))),1,0))</f>
        <v>0</v>
      </c>
      <c r="C55" s="20">
        <f ca="1">IF($H55="","",IF(ISERROR(MATCH($O55,Lge_Handicap!$B:$B,0)),1,0))</f>
        <v>0</v>
      </c>
      <c r="D55" s="20">
        <f ca="1">IF($H55="","",IF(AND(LEFT($P55,3)="Wom",ISERROR(MATCH($O55,Lge_Womens!$B:$B,0))),1,0))</f>
        <v>0</v>
      </c>
      <c r="E55" s="20">
        <f ca="1">IF($H55="","",IF(AND(OR($P55="Vet",$P55="Woman Vet"),ISERROR(MATCH($O55,Lge_Veterans!$B:$B,0))),1,0))</f>
        <v>0</v>
      </c>
      <c r="F55" s="20">
        <f ca="1">IF($H55="","",IF(AND(OR($P55="Junior",$P55="Youth"),ISERROR(MATCH($O55,Lge_Junior!$B:$B,0))),1,0))</f>
        <v>0</v>
      </c>
      <c r="G55" s="20">
        <f ca="1">IF($H55="","",IF(AND($P55="Youth",ISERROR(MATCH($O55,Lge_Youth!$B:$B,0))),1,0))</f>
        <v>0</v>
      </c>
      <c r="H55" s="16" t="str">
        <f ca="1">IFERROR(__xludf.DUMMYFUNCTION("""COMPUTED_VALUE"""),"45837_Sunday League_50")</f>
        <v>45837_Sunday League_50</v>
      </c>
      <c r="I55" s="16" t="str">
        <f ca="1">IFERROR(__xludf.DUMMYFUNCTION("""COMPUTED_VALUE"""),"45837_Sunday League_50_3")</f>
        <v>45837_Sunday League_50_3</v>
      </c>
      <c r="J55" s="16">
        <f ca="1">IFERROR(__xludf.DUMMYFUNCTION("""COMPUTED_VALUE"""),7)</f>
        <v>7</v>
      </c>
      <c r="K55" s="16" t="str">
        <f ca="1">IFERROR(__xludf.DUMMYFUNCTION("""COMPUTED_VALUE"""),"Sunday League")</f>
        <v>Sunday League</v>
      </c>
      <c r="L55" s="22">
        <f ca="1">IFERROR(__xludf.DUMMYFUNCTION("""COMPUTED_VALUE"""),45837)</f>
        <v>45837</v>
      </c>
      <c r="M55" s="16">
        <f ca="1">IFERROR(__xludf.DUMMYFUNCTION("""COMPUTED_VALUE"""),50)</f>
        <v>50</v>
      </c>
      <c r="N55" s="16">
        <f ca="1">IFERROR(__xludf.DUMMYFUNCTION("""COMPUTED_VALUE"""),3)</f>
        <v>3</v>
      </c>
      <c r="O55" s="16" t="str">
        <f ca="1">IFERROR(__xludf.DUMMYFUNCTION("""COMPUTED_VALUE"""),"David Carey")</f>
        <v>David Carey</v>
      </c>
      <c r="P55" s="16" t="str">
        <f ca="1">IFERROR(__xludf.DUMMYFUNCTION("""COMPUTED_VALUE"""),"Vet")</f>
        <v>Vet</v>
      </c>
      <c r="Q55" s="23">
        <f ca="1">IFERROR(__xludf.DUMMYFUNCTION("""COMPUTED_VALUE"""),0.0937384259259259)</f>
        <v>9.3738425925925906E-2</v>
      </c>
      <c r="R55" s="16" t="str">
        <f ca="1">IFERROR(__xludf.DUMMYFUNCTION("""COMPUTED_VALUE"""),"CB")</f>
        <v>CB</v>
      </c>
      <c r="S55" s="16">
        <f ca="1">IFERROR(__xludf.DUMMYFUNCTION("""COMPUTED_VALUE"""),58)</f>
        <v>58</v>
      </c>
      <c r="T55" s="23">
        <f ca="1">IFERROR(__xludf.DUMMYFUNCTION("""COMPUTED_VALUE"""),0.061979)</f>
        <v>6.1978999999999999E-2</v>
      </c>
      <c r="U55" s="16">
        <f ca="1">IFERROR(__xludf.DUMMYFUNCTION("""COMPUTED_VALUE"""),2)</f>
        <v>2</v>
      </c>
      <c r="V55" s="16">
        <f ca="1">IFERROR(__xludf.DUMMYFUNCTION("""COMPUTED_VALUE"""),59)</f>
        <v>59</v>
      </c>
      <c r="W55" s="23">
        <f ca="1">IFERROR(__xludf.DUMMYFUNCTION("""COMPUTED_VALUE"""),0.0899305555555555)</f>
        <v>8.99305555555555E-2</v>
      </c>
      <c r="X55" s="16">
        <f ca="1">IFERROR(__xludf.DUMMYFUNCTION("""COMPUTED_VALUE"""),3)</f>
        <v>3</v>
      </c>
      <c r="Y55" s="16">
        <f ca="1">IFERROR(__xludf.DUMMYFUNCTION("""COMPUTED_VALUE"""),58)</f>
        <v>58</v>
      </c>
      <c r="Z55" s="16">
        <f ca="1">IFERROR(__xludf.DUMMYFUNCTION("""COMPUTED_VALUE"""),0)</f>
        <v>0</v>
      </c>
      <c r="AA55" s="16">
        <f ca="1">IFERROR(__xludf.DUMMYFUNCTION("""COMPUTED_VALUE"""),0)</f>
        <v>0</v>
      </c>
      <c r="AB55" s="16">
        <f ca="1">IFERROR(__xludf.DUMMYFUNCTION("""COMPUTED_VALUE"""),0)</f>
        <v>0</v>
      </c>
      <c r="AC55" s="16">
        <f ca="1">IFERROR(__xludf.DUMMYFUNCTION("""COMPUTED_VALUE"""),0)</f>
        <v>0</v>
      </c>
      <c r="AD55" s="16">
        <f ca="1">IFERROR(__xludf.DUMMYFUNCTION("""COMPUTED_VALUE"""),0)</f>
        <v>0</v>
      </c>
      <c r="AE55" s="16">
        <f ca="1">IFERROR(__xludf.DUMMYFUNCTION("""COMPUTED_VALUE"""),0)</f>
        <v>0</v>
      </c>
      <c r="AF55" s="16" t="str">
        <f ca="1">IFERROR(__xludf.DUMMYFUNCTION("""COMPUTED_VALUE"""),"")</f>
        <v/>
      </c>
      <c r="AG55" s="16">
        <f ca="1">IFERROR(__xludf.DUMMYFUNCTION("""COMPUTED_VALUE"""),0)</f>
        <v>0</v>
      </c>
      <c r="AH55" s="16">
        <f ca="1">IFERROR(__xludf.DUMMYFUNCTION("""COMPUTED_VALUE"""),0)</f>
        <v>0</v>
      </c>
      <c r="AI55" s="16" t="str">
        <f ca="1">IFERROR(__xludf.DUMMYFUNCTION("""COMPUTED_VALUE"""),"")</f>
        <v/>
      </c>
      <c r="AJ55" s="16" t="str">
        <f ca="1">IFERROR(__xludf.DUMMYFUNCTION("""COMPUTED_VALUE"""),"")</f>
        <v/>
      </c>
      <c r="AK55" s="16" t="str">
        <f ca="1">IFERROR(__xludf.DUMMYFUNCTION("""COMPUTED_VALUE"""),"CB")</f>
        <v>CB</v>
      </c>
      <c r="AL55" s="16" t="str">
        <f ca="1">IFERROR(__xludf.DUMMYFUNCTION("""COMPUTED_VALUE"""),"")</f>
        <v/>
      </c>
      <c r="AM55" s="16" t="str">
        <f ca="1">IFERROR(__xludf.DUMMYFUNCTION("""COMPUTED_VALUE"""),"")</f>
        <v/>
      </c>
      <c r="AN55" s="24" t="str">
        <f ca="1">IFERROR(__xludf.DUMMYFUNCTION("""COMPUTED_VALUE"""),"")</f>
        <v/>
      </c>
    </row>
    <row r="56" spans="1:40" x14ac:dyDescent="0.2">
      <c r="A56" s="20">
        <f ca="1">IF($H56="","",IF(ISERROR(MATCH($O56,Lge_Scratch!$B:$B,0)),1,0))</f>
        <v>0</v>
      </c>
      <c r="B56" s="20">
        <f ca="1">IF($H56="","",IF(AND($AG56&gt;0,ISERROR(MATCH($O56,Lge_NonAero!$B:$B,0))),1,0))</f>
        <v>0</v>
      </c>
      <c r="C56" s="20">
        <f ca="1">IF($H56="","",IF(ISERROR(MATCH($O56,Lge_Handicap!$B:$B,0)),1,0))</f>
        <v>0</v>
      </c>
      <c r="D56" s="20">
        <f ca="1">IF($H56="","",IF(AND(LEFT($P56,3)="Wom",ISERROR(MATCH($O56,Lge_Womens!$B:$B,0))),1,0))</f>
        <v>0</v>
      </c>
      <c r="E56" s="20">
        <f ca="1">IF($H56="","",IF(AND(OR($P56="Vet",$P56="Woman Vet"),ISERROR(MATCH($O56,Lge_Veterans!$B:$B,0))),1,0))</f>
        <v>0</v>
      </c>
      <c r="F56" s="20">
        <f ca="1">IF($H56="","",IF(AND(OR($P56="Junior",$P56="Youth"),ISERROR(MATCH($O56,Lge_Junior!$B:$B,0))),1,0))</f>
        <v>0</v>
      </c>
      <c r="G56" s="20">
        <f ca="1">IF($H56="","",IF(AND($P56="Youth",ISERROR(MATCH($O56,Lge_Youth!$B:$B,0))),1,0))</f>
        <v>0</v>
      </c>
      <c r="H56" s="16" t="str">
        <f ca="1">IFERROR(__xludf.DUMMYFUNCTION("""COMPUTED_VALUE"""),"45837_Sunday League_50")</f>
        <v>45837_Sunday League_50</v>
      </c>
      <c r="I56" s="16" t="str">
        <f ca="1">IFERROR(__xludf.DUMMYFUNCTION("""COMPUTED_VALUE"""),"45837_Sunday League_50_4")</f>
        <v>45837_Sunday League_50_4</v>
      </c>
      <c r="J56" s="16">
        <f ca="1">IFERROR(__xludf.DUMMYFUNCTION("""COMPUTED_VALUE"""),7)</f>
        <v>7</v>
      </c>
      <c r="K56" s="16" t="str">
        <f ca="1">IFERROR(__xludf.DUMMYFUNCTION("""COMPUTED_VALUE"""),"Sunday League")</f>
        <v>Sunday League</v>
      </c>
      <c r="L56" s="22">
        <f ca="1">IFERROR(__xludf.DUMMYFUNCTION("""COMPUTED_VALUE"""),45837)</f>
        <v>45837</v>
      </c>
      <c r="M56" s="16">
        <f ca="1">IFERROR(__xludf.DUMMYFUNCTION("""COMPUTED_VALUE"""),50)</f>
        <v>50</v>
      </c>
      <c r="N56" s="16">
        <f ca="1">IFERROR(__xludf.DUMMYFUNCTION("""COMPUTED_VALUE"""),4)</f>
        <v>4</v>
      </c>
      <c r="O56" s="16" t="str">
        <f ca="1">IFERROR(__xludf.DUMMYFUNCTION("""COMPUTED_VALUE"""),"Paul Gribbon")</f>
        <v>Paul Gribbon</v>
      </c>
      <c r="P56" s="16" t="str">
        <f ca="1">IFERROR(__xludf.DUMMYFUNCTION("""COMPUTED_VALUE"""),"Vet")</f>
        <v>Vet</v>
      </c>
      <c r="Q56" s="23">
        <f ca="1">IFERROR(__xludf.DUMMYFUNCTION("""COMPUTED_VALUE"""),0.095949074074074)</f>
        <v>9.5949074074074006E-2</v>
      </c>
      <c r="R56" s="16" t="str">
        <f ca="1">IFERROR(__xludf.DUMMYFUNCTION("""COMPUTED_VALUE"""),"")</f>
        <v/>
      </c>
      <c r="S56" s="16">
        <f ca="1">IFERROR(__xludf.DUMMYFUNCTION("""COMPUTED_VALUE"""),57)</f>
        <v>57</v>
      </c>
      <c r="T56" s="23">
        <f ca="1">IFERROR(__xludf.DUMMYFUNCTION("""COMPUTED_VALUE"""),0.062662)</f>
        <v>6.2661999999999995E-2</v>
      </c>
      <c r="U56" s="16">
        <f ca="1">IFERROR(__xludf.DUMMYFUNCTION("""COMPUTED_VALUE"""),6)</f>
        <v>6</v>
      </c>
      <c r="V56" s="16">
        <f ca="1">IFERROR(__xludf.DUMMYFUNCTION("""COMPUTED_VALUE"""),55)</f>
        <v>55</v>
      </c>
      <c r="W56" s="23">
        <f ca="1">IFERROR(__xludf.DUMMYFUNCTION("""COMPUTED_VALUE"""),0.0921412037037037)</f>
        <v>9.2141203703703697E-2</v>
      </c>
      <c r="X56" s="16">
        <f ca="1">IFERROR(__xludf.DUMMYFUNCTION("""COMPUTED_VALUE"""),5)</f>
        <v>5</v>
      </c>
      <c r="Y56" s="16">
        <f ca="1">IFERROR(__xludf.DUMMYFUNCTION("""COMPUTED_VALUE"""),56)</f>
        <v>56</v>
      </c>
      <c r="Z56" s="16">
        <f ca="1">IFERROR(__xludf.DUMMYFUNCTION("""COMPUTED_VALUE"""),0)</f>
        <v>0</v>
      </c>
      <c r="AA56" s="16">
        <f ca="1">IFERROR(__xludf.DUMMYFUNCTION("""COMPUTED_VALUE"""),0)</f>
        <v>0</v>
      </c>
      <c r="AB56" s="16">
        <f ca="1">IFERROR(__xludf.DUMMYFUNCTION("""COMPUTED_VALUE"""),0)</f>
        <v>0</v>
      </c>
      <c r="AC56" s="16">
        <f ca="1">IFERROR(__xludf.DUMMYFUNCTION("""COMPUTED_VALUE"""),0)</f>
        <v>0</v>
      </c>
      <c r="AD56" s="16">
        <f ca="1">IFERROR(__xludf.DUMMYFUNCTION("""COMPUTED_VALUE"""),0)</f>
        <v>0</v>
      </c>
      <c r="AE56" s="16">
        <f ca="1">IFERROR(__xludf.DUMMYFUNCTION("""COMPUTED_VALUE"""),0)</f>
        <v>0</v>
      </c>
      <c r="AF56" s="16" t="str">
        <f ca="1">IFERROR(__xludf.DUMMYFUNCTION("""COMPUTED_VALUE"""),"")</f>
        <v/>
      </c>
      <c r="AG56" s="16">
        <f ca="1">IFERROR(__xludf.DUMMYFUNCTION("""COMPUTED_VALUE"""),0)</f>
        <v>0</v>
      </c>
      <c r="AH56" s="16">
        <f ca="1">IFERROR(__xludf.DUMMYFUNCTION("""COMPUTED_VALUE"""),0)</f>
        <v>0</v>
      </c>
      <c r="AI56" s="16" t="str">
        <f ca="1">IFERROR(__xludf.DUMMYFUNCTION("""COMPUTED_VALUE"""),"")</f>
        <v/>
      </c>
      <c r="AJ56" s="16" t="str">
        <f ca="1">IFERROR(__xludf.DUMMYFUNCTION("""COMPUTED_VALUE"""),"")</f>
        <v/>
      </c>
      <c r="AK56" s="16" t="str">
        <f ca="1">IFERROR(__xludf.DUMMYFUNCTION("""COMPUTED_VALUE"""),"")</f>
        <v/>
      </c>
      <c r="AL56" s="16" t="str">
        <f ca="1">IFERROR(__xludf.DUMMYFUNCTION("""COMPUTED_VALUE"""),"")</f>
        <v/>
      </c>
      <c r="AM56" s="16" t="str">
        <f ca="1">IFERROR(__xludf.DUMMYFUNCTION("""COMPUTED_VALUE"""),"")</f>
        <v/>
      </c>
      <c r="AN56" s="24" t="str">
        <f ca="1">IFERROR(__xludf.DUMMYFUNCTION("""COMPUTED_VALUE"""),"")</f>
        <v/>
      </c>
    </row>
    <row r="57" spans="1:40" x14ac:dyDescent="0.2">
      <c r="A57" s="20">
        <f ca="1">IF($H57="","",IF(ISERROR(MATCH($O57,Lge_Scratch!$B:$B,0)),1,0))</f>
        <v>0</v>
      </c>
      <c r="B57" s="20">
        <f ca="1">IF($H57="","",IF(AND($AG57&gt;0,ISERROR(MATCH($O57,Lge_NonAero!$B:$B,0))),1,0))</f>
        <v>0</v>
      </c>
      <c r="C57" s="20">
        <f ca="1">IF($H57="","",IF(ISERROR(MATCH($O57,Lge_Handicap!$B:$B,0)),1,0))</f>
        <v>0</v>
      </c>
      <c r="D57" s="20">
        <f ca="1">IF($H57="","",IF(AND(LEFT($P57,3)="Wom",ISERROR(MATCH($O57,Lge_Womens!$B:$B,0))),1,0))</f>
        <v>0</v>
      </c>
      <c r="E57" s="20">
        <f ca="1">IF($H57="","",IF(AND(OR($P57="Vet",$P57="Woman Vet"),ISERROR(MATCH($O57,Lge_Veterans!$B:$B,0))),1,0))</f>
        <v>0</v>
      </c>
      <c r="F57" s="20">
        <f ca="1">IF($H57="","",IF(AND(OR($P57="Junior",$P57="Youth"),ISERROR(MATCH($O57,Lge_Junior!$B:$B,0))),1,0))</f>
        <v>0</v>
      </c>
      <c r="G57" s="20">
        <f ca="1">IF($H57="","",IF(AND($P57="Youth",ISERROR(MATCH($O57,Lge_Youth!$B:$B,0))),1,0))</f>
        <v>0</v>
      </c>
      <c r="H57" s="16" t="str">
        <f ca="1">IFERROR(__xludf.DUMMYFUNCTION("""COMPUTED_VALUE"""),"45837_Sunday League_50")</f>
        <v>45837_Sunday League_50</v>
      </c>
      <c r="I57" s="16" t="str">
        <f ca="1">IFERROR(__xludf.DUMMYFUNCTION("""COMPUTED_VALUE"""),"45837_Sunday League_50_5")</f>
        <v>45837_Sunday League_50_5</v>
      </c>
      <c r="J57" s="16">
        <f ca="1">IFERROR(__xludf.DUMMYFUNCTION("""COMPUTED_VALUE"""),7)</f>
        <v>7</v>
      </c>
      <c r="K57" s="16" t="str">
        <f ca="1">IFERROR(__xludf.DUMMYFUNCTION("""COMPUTED_VALUE"""),"Sunday League")</f>
        <v>Sunday League</v>
      </c>
      <c r="L57" s="22">
        <f ca="1">IFERROR(__xludf.DUMMYFUNCTION("""COMPUTED_VALUE"""),45837)</f>
        <v>45837</v>
      </c>
      <c r="M57" s="16">
        <f ca="1">IFERROR(__xludf.DUMMYFUNCTION("""COMPUTED_VALUE"""),50)</f>
        <v>50</v>
      </c>
      <c r="N57" s="16">
        <f ca="1">IFERROR(__xludf.DUMMYFUNCTION("""COMPUTED_VALUE"""),5)</f>
        <v>5</v>
      </c>
      <c r="O57" s="16" t="str">
        <f ca="1">IFERROR(__xludf.DUMMYFUNCTION("""COMPUTED_VALUE"""),"Andy Merchant")</f>
        <v>Andy Merchant</v>
      </c>
      <c r="P57" s="16" t="str">
        <f ca="1">IFERROR(__xludf.DUMMYFUNCTION("""COMPUTED_VALUE"""),"Vet")</f>
        <v>Vet</v>
      </c>
      <c r="Q57" s="23">
        <f ca="1">IFERROR(__xludf.DUMMYFUNCTION("""COMPUTED_VALUE"""),0.0969675925925925)</f>
        <v>9.6967592592592494E-2</v>
      </c>
      <c r="R57" s="16" t="str">
        <f ca="1">IFERROR(__xludf.DUMMYFUNCTION("""COMPUTED_VALUE"""),"First E9 50 mile TT")</f>
        <v>First E9 50 mile TT</v>
      </c>
      <c r="S57" s="16">
        <f ca="1">IFERROR(__xludf.DUMMYFUNCTION("""COMPUTED_VALUE"""),56)</f>
        <v>56</v>
      </c>
      <c r="T57" s="23">
        <f ca="1">IFERROR(__xludf.DUMMYFUNCTION("""COMPUTED_VALUE"""),0.062199)</f>
        <v>6.2198999999999997E-2</v>
      </c>
      <c r="U57" s="16">
        <f ca="1">IFERROR(__xludf.DUMMYFUNCTION("""COMPUTED_VALUE"""),3)</f>
        <v>3</v>
      </c>
      <c r="V57" s="16">
        <f ca="1">IFERROR(__xludf.DUMMYFUNCTION("""COMPUTED_VALUE"""),58)</f>
        <v>58</v>
      </c>
      <c r="W57" s="23">
        <f ca="1">IFERROR(__xludf.DUMMYFUNCTION("""COMPUTED_VALUE"""),0.0902893518518518)</f>
        <v>9.0289351851851801E-2</v>
      </c>
      <c r="X57" s="16">
        <f ca="1">IFERROR(__xludf.DUMMYFUNCTION("""COMPUTED_VALUE"""),4)</f>
        <v>4</v>
      </c>
      <c r="Y57" s="16">
        <f ca="1">IFERROR(__xludf.DUMMYFUNCTION("""COMPUTED_VALUE"""),57)</f>
        <v>57</v>
      </c>
      <c r="Z57" s="16">
        <f ca="1">IFERROR(__xludf.DUMMYFUNCTION("""COMPUTED_VALUE"""),0)</f>
        <v>0</v>
      </c>
      <c r="AA57" s="16">
        <f ca="1">IFERROR(__xludf.DUMMYFUNCTION("""COMPUTED_VALUE"""),0)</f>
        <v>0</v>
      </c>
      <c r="AB57" s="16">
        <f ca="1">IFERROR(__xludf.DUMMYFUNCTION("""COMPUTED_VALUE"""),0)</f>
        <v>0</v>
      </c>
      <c r="AC57" s="16">
        <f ca="1">IFERROR(__xludf.DUMMYFUNCTION("""COMPUTED_VALUE"""),0)</f>
        <v>0</v>
      </c>
      <c r="AD57" s="16">
        <f ca="1">IFERROR(__xludf.DUMMYFUNCTION("""COMPUTED_VALUE"""),0)</f>
        <v>0</v>
      </c>
      <c r="AE57" s="16">
        <f ca="1">IFERROR(__xludf.DUMMYFUNCTION("""COMPUTED_VALUE"""),0)</f>
        <v>0</v>
      </c>
      <c r="AF57" s="16" t="str">
        <f ca="1">IFERROR(__xludf.DUMMYFUNCTION("""COMPUTED_VALUE"""),"")</f>
        <v/>
      </c>
      <c r="AG57" s="16">
        <f ca="1">IFERROR(__xludf.DUMMYFUNCTION("""COMPUTED_VALUE"""),0)</f>
        <v>0</v>
      </c>
      <c r="AH57" s="16">
        <f ca="1">IFERROR(__xludf.DUMMYFUNCTION("""COMPUTED_VALUE"""),0)</f>
        <v>0</v>
      </c>
      <c r="AI57" s="16" t="str">
        <f ca="1">IFERROR(__xludf.DUMMYFUNCTION("""COMPUTED_VALUE"""),"")</f>
        <v/>
      </c>
      <c r="AJ57" s="16" t="str">
        <f ca="1">IFERROR(__xludf.DUMMYFUNCTION("""COMPUTED_VALUE"""),"First E9 50 mile TT")</f>
        <v>First E9 50 mile TT</v>
      </c>
      <c r="AK57" s="16" t="str">
        <f ca="1">IFERROR(__xludf.DUMMYFUNCTION("""COMPUTED_VALUE"""),"")</f>
        <v/>
      </c>
      <c r="AL57" s="16" t="str">
        <f ca="1">IFERROR(__xludf.DUMMYFUNCTION("""COMPUTED_VALUE"""),"")</f>
        <v/>
      </c>
      <c r="AM57" s="16" t="str">
        <f ca="1">IFERROR(__xludf.DUMMYFUNCTION("""COMPUTED_VALUE"""),"")</f>
        <v/>
      </c>
      <c r="AN57" s="24" t="str">
        <f ca="1">IFERROR(__xludf.DUMMYFUNCTION("""COMPUTED_VALUE"""),"")</f>
        <v/>
      </c>
    </row>
    <row r="58" spans="1:40" x14ac:dyDescent="0.2">
      <c r="A58" s="20">
        <f ca="1">IF($H58="","",IF(ISERROR(MATCH($O58,Lge_Scratch!$B:$B,0)),1,0))</f>
        <v>0</v>
      </c>
      <c r="B58" s="20">
        <f ca="1">IF($H58="","",IF(AND($AG58&gt;0,ISERROR(MATCH($O58,Lge_NonAero!$B:$B,0))),1,0))</f>
        <v>0</v>
      </c>
      <c r="C58" s="20">
        <f ca="1">IF($H58="","",IF(ISERROR(MATCH($O58,Lge_Handicap!$B:$B,0)),1,0))</f>
        <v>0</v>
      </c>
      <c r="D58" s="20">
        <f ca="1">IF($H58="","",IF(AND(LEFT($P58,3)="Wom",ISERROR(MATCH($O58,Lge_Womens!$B:$B,0))),1,0))</f>
        <v>0</v>
      </c>
      <c r="E58" s="20">
        <f ca="1">IF($H58="","",IF(AND(OR($P58="Vet",$P58="Woman Vet"),ISERROR(MATCH($O58,Lge_Veterans!$B:$B,0))),1,0))</f>
        <v>0</v>
      </c>
      <c r="F58" s="20">
        <f ca="1">IF($H58="","",IF(AND(OR($P58="Junior",$P58="Youth"),ISERROR(MATCH($O58,Lge_Junior!$B:$B,0))),1,0))</f>
        <v>0</v>
      </c>
      <c r="G58" s="20">
        <f ca="1">IF($H58="","",IF(AND($P58="Youth",ISERROR(MATCH($O58,Lge_Youth!$B:$B,0))),1,0))</f>
        <v>0</v>
      </c>
      <c r="H58" s="16" t="str">
        <f ca="1">IFERROR(__xludf.DUMMYFUNCTION("""COMPUTED_VALUE"""),"45837_Sunday League_50")</f>
        <v>45837_Sunday League_50</v>
      </c>
      <c r="I58" s="16" t="str">
        <f ca="1">IFERROR(__xludf.DUMMYFUNCTION("""COMPUTED_VALUE"""),"45837_Sunday League_50_6")</f>
        <v>45837_Sunday League_50_6</v>
      </c>
      <c r="J58" s="16">
        <f ca="1">IFERROR(__xludf.DUMMYFUNCTION("""COMPUTED_VALUE"""),7)</f>
        <v>7</v>
      </c>
      <c r="K58" s="16" t="str">
        <f ca="1">IFERROR(__xludf.DUMMYFUNCTION("""COMPUTED_VALUE"""),"Sunday League")</f>
        <v>Sunday League</v>
      </c>
      <c r="L58" s="22">
        <f ca="1">IFERROR(__xludf.DUMMYFUNCTION("""COMPUTED_VALUE"""),45837)</f>
        <v>45837</v>
      </c>
      <c r="M58" s="16">
        <f ca="1">IFERROR(__xludf.DUMMYFUNCTION("""COMPUTED_VALUE"""),50)</f>
        <v>50</v>
      </c>
      <c r="N58" s="16">
        <f ca="1">IFERROR(__xludf.DUMMYFUNCTION("""COMPUTED_VALUE"""),6)</f>
        <v>6</v>
      </c>
      <c r="O58" s="16" t="str">
        <f ca="1">IFERROR(__xludf.DUMMYFUNCTION("""COMPUTED_VALUE"""),"David Jacobs")</f>
        <v>David Jacobs</v>
      </c>
      <c r="P58" s="16" t="str">
        <f ca="1">IFERROR(__xludf.DUMMYFUNCTION("""COMPUTED_VALUE"""),"Vet")</f>
        <v>Vet</v>
      </c>
      <c r="Q58" s="23">
        <f ca="1">IFERROR(__xludf.DUMMYFUNCTION("""COMPUTED_VALUE"""),0.0993287037037037)</f>
        <v>9.9328703703703697E-2</v>
      </c>
      <c r="R58" s="16" t="str">
        <f ca="1">IFERROR(__xludf.DUMMYFUNCTION("""COMPUTED_VALUE"""),"First 50 mile TT")</f>
        <v>First 50 mile TT</v>
      </c>
      <c r="S58" s="16">
        <f ca="1">IFERROR(__xludf.DUMMYFUNCTION("""COMPUTED_VALUE"""),55)</f>
        <v>55</v>
      </c>
      <c r="T58" s="23">
        <f ca="1">IFERROR(__xludf.DUMMYFUNCTION("""COMPUTED_VALUE"""),0.062361)</f>
        <v>6.2361E-2</v>
      </c>
      <c r="U58" s="16">
        <f ca="1">IFERROR(__xludf.DUMMYFUNCTION("""COMPUTED_VALUE"""),4)</f>
        <v>4</v>
      </c>
      <c r="V58" s="16">
        <f ca="1">IFERROR(__xludf.DUMMYFUNCTION("""COMPUTED_VALUE"""),57)</f>
        <v>57</v>
      </c>
      <c r="W58" s="23">
        <f ca="1">IFERROR(__xludf.DUMMYFUNCTION("""COMPUTED_VALUE"""),0.0950925925925925)</f>
        <v>9.5092592592592506E-2</v>
      </c>
      <c r="X58" s="16">
        <f ca="1">IFERROR(__xludf.DUMMYFUNCTION("""COMPUTED_VALUE"""),6)</f>
        <v>6</v>
      </c>
      <c r="Y58" s="16">
        <f ca="1">IFERROR(__xludf.DUMMYFUNCTION("""COMPUTED_VALUE"""),55)</f>
        <v>55</v>
      </c>
      <c r="Z58" s="16">
        <f ca="1">IFERROR(__xludf.DUMMYFUNCTION("""COMPUTED_VALUE"""),0)</f>
        <v>0</v>
      </c>
      <c r="AA58" s="16">
        <f ca="1">IFERROR(__xludf.DUMMYFUNCTION("""COMPUTED_VALUE"""),0)</f>
        <v>0</v>
      </c>
      <c r="AB58" s="16">
        <f ca="1">IFERROR(__xludf.DUMMYFUNCTION("""COMPUTED_VALUE"""),0)</f>
        <v>0</v>
      </c>
      <c r="AC58" s="16">
        <f ca="1">IFERROR(__xludf.DUMMYFUNCTION("""COMPUTED_VALUE"""),0)</f>
        <v>0</v>
      </c>
      <c r="AD58" s="16">
        <f ca="1">IFERROR(__xludf.DUMMYFUNCTION("""COMPUTED_VALUE"""),0)</f>
        <v>0</v>
      </c>
      <c r="AE58" s="16">
        <f ca="1">IFERROR(__xludf.DUMMYFUNCTION("""COMPUTED_VALUE"""),0)</f>
        <v>0</v>
      </c>
      <c r="AF58" s="16" t="str">
        <f ca="1">IFERROR(__xludf.DUMMYFUNCTION("""COMPUTED_VALUE"""),"")</f>
        <v/>
      </c>
      <c r="AG58" s="16">
        <f ca="1">IFERROR(__xludf.DUMMYFUNCTION("""COMPUTED_VALUE"""),0)</f>
        <v>0</v>
      </c>
      <c r="AH58" s="16">
        <f ca="1">IFERROR(__xludf.DUMMYFUNCTION("""COMPUTED_VALUE"""),0)</f>
        <v>0</v>
      </c>
      <c r="AI58" s="16" t="str">
        <f ca="1">IFERROR(__xludf.DUMMYFUNCTION("""COMPUTED_VALUE"""),"")</f>
        <v/>
      </c>
      <c r="AJ58" s="16" t="str">
        <f ca="1">IFERROR(__xludf.DUMMYFUNCTION("""COMPUTED_VALUE"""),"First 50 mile TT")</f>
        <v>First 50 mile TT</v>
      </c>
      <c r="AK58" s="16" t="str">
        <f ca="1">IFERROR(__xludf.DUMMYFUNCTION("""COMPUTED_VALUE"""),"")</f>
        <v/>
      </c>
      <c r="AL58" s="16" t="str">
        <f ca="1">IFERROR(__xludf.DUMMYFUNCTION("""COMPUTED_VALUE"""),"")</f>
        <v/>
      </c>
      <c r="AM58" s="16" t="str">
        <f ca="1">IFERROR(__xludf.DUMMYFUNCTION("""COMPUTED_VALUE"""),"")</f>
        <v/>
      </c>
      <c r="AN58" s="24" t="str">
        <f ca="1">IFERROR(__xludf.DUMMYFUNCTION("""COMPUTED_VALUE"""),"")</f>
        <v/>
      </c>
    </row>
    <row r="59" spans="1:40" x14ac:dyDescent="0.2">
      <c r="A59" s="20">
        <f ca="1">IF($H59="","",IF(ISERROR(MATCH($O59,Lge_Scratch!$B:$B,0)),1,0))</f>
        <v>0</v>
      </c>
      <c r="B59" s="20">
        <f ca="1">IF($H59="","",IF(AND($AG59&gt;0,ISERROR(MATCH($O59,Lge_NonAero!$B:$B,0))),1,0))</f>
        <v>0</v>
      </c>
      <c r="C59" s="20">
        <f ca="1">IF($H59="","",IF(ISERROR(MATCH($O59,Lge_Handicap!$B:$B,0)),1,0))</f>
        <v>0</v>
      </c>
      <c r="D59" s="20">
        <f ca="1">IF($H59="","",IF(AND(LEFT($P59,3)="Wom",ISERROR(MATCH($O59,Lge_Womens!$B:$B,0))),1,0))</f>
        <v>0</v>
      </c>
      <c r="E59" s="20">
        <f ca="1">IF($H59="","",IF(AND(OR($P59="Vet",$P59="Woman Vet"),ISERROR(MATCH($O59,Lge_Veterans!$B:$B,0))),1,0))</f>
        <v>0</v>
      </c>
      <c r="F59" s="20">
        <f ca="1">IF($H59="","",IF(AND(OR($P59="Junior",$P59="Youth"),ISERROR(MATCH($O59,Lge_Junior!$B:$B,0))),1,0))</f>
        <v>0</v>
      </c>
      <c r="G59" s="20">
        <f ca="1">IF($H59="","",IF(AND($P59="Youth",ISERROR(MATCH($O59,Lge_Youth!$B:$B,0))),1,0))</f>
        <v>0</v>
      </c>
      <c r="H59" s="16" t="str">
        <f ca="1">IFERROR(__xludf.DUMMYFUNCTION("""COMPUTED_VALUE"""),"45837_Sunday League_50")</f>
        <v>45837_Sunday League_50</v>
      </c>
      <c r="I59" s="16" t="str">
        <f ca="1">IFERROR(__xludf.DUMMYFUNCTION("""COMPUTED_VALUE"""),"45837_Sunday League_50_7")</f>
        <v>45837_Sunday League_50_7</v>
      </c>
      <c r="J59" s="16">
        <f ca="1">IFERROR(__xludf.DUMMYFUNCTION("""COMPUTED_VALUE"""),7)</f>
        <v>7</v>
      </c>
      <c r="K59" s="16" t="str">
        <f ca="1">IFERROR(__xludf.DUMMYFUNCTION("""COMPUTED_VALUE"""),"Sunday League")</f>
        <v>Sunday League</v>
      </c>
      <c r="L59" s="22">
        <f ca="1">IFERROR(__xludf.DUMMYFUNCTION("""COMPUTED_VALUE"""),45837)</f>
        <v>45837</v>
      </c>
      <c r="M59" s="16">
        <f ca="1">IFERROR(__xludf.DUMMYFUNCTION("""COMPUTED_VALUE"""),50)</f>
        <v>50</v>
      </c>
      <c r="N59" s="16">
        <f ca="1">IFERROR(__xludf.DUMMYFUNCTION("""COMPUTED_VALUE"""),7)</f>
        <v>7</v>
      </c>
      <c r="O59" s="16" t="str">
        <f ca="1">IFERROR(__xludf.DUMMYFUNCTION("""COMPUTED_VALUE"""),"Paul White")</f>
        <v>Paul White</v>
      </c>
      <c r="P59" s="16" t="str">
        <f ca="1">IFERROR(__xludf.DUMMYFUNCTION("""COMPUTED_VALUE"""),"Vet")</f>
        <v>Vet</v>
      </c>
      <c r="Q59" s="23">
        <f ca="1">IFERROR(__xludf.DUMMYFUNCTION("""COMPUTED_VALUE"""),0.099699074074074)</f>
        <v>9.9699074074073996E-2</v>
      </c>
      <c r="R59" s="16" t="str">
        <f ca="1">IFERROR(__xludf.DUMMYFUNCTION("""COMPUTED_VALUE"""),"Non-aero PB")</f>
        <v>Non-aero PB</v>
      </c>
      <c r="S59" s="16">
        <f ca="1">IFERROR(__xludf.DUMMYFUNCTION("""COMPUTED_VALUE"""),54)</f>
        <v>54</v>
      </c>
      <c r="T59" s="23">
        <f ca="1">IFERROR(__xludf.DUMMYFUNCTION("""COMPUTED_VALUE"""),0.062384)</f>
        <v>6.2384000000000002E-2</v>
      </c>
      <c r="U59" s="16">
        <f ca="1">IFERROR(__xludf.DUMMYFUNCTION("""COMPUTED_VALUE"""),5)</f>
        <v>5</v>
      </c>
      <c r="V59" s="16">
        <f ca="1">IFERROR(__xludf.DUMMYFUNCTION("""COMPUTED_VALUE"""),56)</f>
        <v>56</v>
      </c>
      <c r="W59" s="23">
        <f ca="1">IFERROR(__xludf.DUMMYFUNCTION("""COMPUTED_VALUE"""),0.0854398148148148)</f>
        <v>8.5439814814814802E-2</v>
      </c>
      <c r="X59" s="16">
        <f ca="1">IFERROR(__xludf.DUMMYFUNCTION("""COMPUTED_VALUE"""),2)</f>
        <v>2</v>
      </c>
      <c r="Y59" s="16">
        <f ca="1">IFERROR(__xludf.DUMMYFUNCTION("""COMPUTED_VALUE"""),59)</f>
        <v>59</v>
      </c>
      <c r="Z59" s="16">
        <f ca="1">IFERROR(__xludf.DUMMYFUNCTION("""COMPUTED_VALUE"""),0)</f>
        <v>0</v>
      </c>
      <c r="AA59" s="16">
        <f ca="1">IFERROR(__xludf.DUMMYFUNCTION("""COMPUTED_VALUE"""),0)</f>
        <v>0</v>
      </c>
      <c r="AB59" s="16">
        <f ca="1">IFERROR(__xludf.DUMMYFUNCTION("""COMPUTED_VALUE"""),0)</f>
        <v>0</v>
      </c>
      <c r="AC59" s="16">
        <f ca="1">IFERROR(__xludf.DUMMYFUNCTION("""COMPUTED_VALUE"""),0)</f>
        <v>0</v>
      </c>
      <c r="AD59" s="16">
        <f ca="1">IFERROR(__xludf.DUMMYFUNCTION("""COMPUTED_VALUE"""),0)</f>
        <v>0</v>
      </c>
      <c r="AE59" s="16">
        <f ca="1">IFERROR(__xludf.DUMMYFUNCTION("""COMPUTED_VALUE"""),0)</f>
        <v>0</v>
      </c>
      <c r="AF59" s="16">
        <f ca="1">IFERROR(__xludf.DUMMYFUNCTION("""COMPUTED_VALUE"""),1)</f>
        <v>1</v>
      </c>
      <c r="AG59" s="16">
        <f ca="1">IFERROR(__xludf.DUMMYFUNCTION("""COMPUTED_VALUE"""),60)</f>
        <v>60</v>
      </c>
      <c r="AH59" s="16">
        <f ca="1">IFERROR(__xludf.DUMMYFUNCTION("""COMPUTED_VALUE"""),0)</f>
        <v>0</v>
      </c>
      <c r="AI59" s="16">
        <f ca="1">IFERROR(__xludf.DUMMYFUNCTION("""COMPUTED_VALUE"""),1)</f>
        <v>1</v>
      </c>
      <c r="AJ59" s="16" t="str">
        <f ca="1">IFERROR(__xludf.DUMMYFUNCTION("""COMPUTED_VALUE"""),"")</f>
        <v/>
      </c>
      <c r="AK59" s="16" t="str">
        <f ca="1">IFERROR(__xludf.DUMMYFUNCTION("""COMPUTED_VALUE"""),"PB")</f>
        <v>PB</v>
      </c>
      <c r="AL59" s="16" t="str">
        <f ca="1">IFERROR(__xludf.DUMMYFUNCTION("""COMPUTED_VALUE"""),"")</f>
        <v/>
      </c>
      <c r="AM59" s="16" t="str">
        <f ca="1">IFERROR(__xludf.DUMMYFUNCTION("""COMPUTED_VALUE"""),"")</f>
        <v/>
      </c>
      <c r="AN59" s="24" t="str">
        <f ca="1">IFERROR(__xludf.DUMMYFUNCTION("""COMPUTED_VALUE"""),"")</f>
        <v/>
      </c>
    </row>
    <row r="60" spans="1:40" x14ac:dyDescent="0.2">
      <c r="A60" s="20">
        <f ca="1">IF($H60="","",IF(ISERROR(MATCH($O60,Lge_Scratch!$B:$B,0)),1,0))</f>
        <v>0</v>
      </c>
      <c r="B60" s="20">
        <f ca="1">IF($H60="","",IF(AND($AG60&gt;0,ISERROR(MATCH($O60,Lge_NonAero!$B:$B,0))),1,0))</f>
        <v>0</v>
      </c>
      <c r="C60" s="20">
        <f ca="1">IF($H60="","",IF(ISERROR(MATCH($O60,Lge_Handicap!$B:$B,0)),1,0))</f>
        <v>0</v>
      </c>
      <c r="D60" s="20">
        <f ca="1">IF($H60="","",IF(AND(LEFT($P60,3)="Wom",ISERROR(MATCH($O60,Lge_Womens!$B:$B,0))),1,0))</f>
        <v>0</v>
      </c>
      <c r="E60" s="20">
        <f ca="1">IF($H60="","",IF(AND(OR($P60="Vet",$P60="Woman Vet"),ISERROR(MATCH($O60,Lge_Veterans!$B:$B,0))),1,0))</f>
        <v>0</v>
      </c>
      <c r="F60" s="20">
        <f ca="1">IF($H60="","",IF(AND(OR($P60="Junior",$P60="Youth"),ISERROR(MATCH($O60,Lge_Junior!$B:$B,0))),1,0))</f>
        <v>0</v>
      </c>
      <c r="G60" s="20">
        <f ca="1">IF($H60="","",IF(AND($P60="Youth",ISERROR(MATCH($O60,Lge_Youth!$B:$B,0))),1,0))</f>
        <v>0</v>
      </c>
      <c r="H60" s="16" t="str">
        <f ca="1">IFERROR(__xludf.DUMMYFUNCTION("""COMPUTED_VALUE"""),"45858_Sunday League_50")</f>
        <v>45858_Sunday League_50</v>
      </c>
      <c r="I60" s="16" t="str">
        <f ca="1">IFERROR(__xludf.DUMMYFUNCTION("""COMPUTED_VALUE"""),"45858_Sunday League_50_1")</f>
        <v>45858_Sunday League_50_1</v>
      </c>
      <c r="J60" s="16">
        <f ca="1">IFERROR(__xludf.DUMMYFUNCTION("""COMPUTED_VALUE"""),3)</f>
        <v>3</v>
      </c>
      <c r="K60" s="16" t="str">
        <f ca="1">IFERROR(__xludf.DUMMYFUNCTION("""COMPUTED_VALUE"""),"Sunday League")</f>
        <v>Sunday League</v>
      </c>
      <c r="L60" s="22">
        <f ca="1">IFERROR(__xludf.DUMMYFUNCTION("""COMPUTED_VALUE"""),45858)</f>
        <v>45858</v>
      </c>
      <c r="M60" s="16">
        <f ca="1">IFERROR(__xludf.DUMMYFUNCTION("""COMPUTED_VALUE"""),50)</f>
        <v>50</v>
      </c>
      <c r="N60" s="16">
        <f ca="1">IFERROR(__xludf.DUMMYFUNCTION("""COMPUTED_VALUE"""),1)</f>
        <v>1</v>
      </c>
      <c r="O60" s="16" t="str">
        <f ca="1">IFERROR(__xludf.DUMMYFUNCTION("""COMPUTED_VALUE"""),"Marc Brant")</f>
        <v>Marc Brant</v>
      </c>
      <c r="P60" s="16" t="str">
        <f ca="1">IFERROR(__xludf.DUMMYFUNCTION("""COMPUTED_VALUE"""),"Vet")</f>
        <v>Vet</v>
      </c>
      <c r="Q60" s="23">
        <f ca="1">IFERROR(__xludf.DUMMYFUNCTION("""COMPUTED_VALUE"""),0.0893402777777777)</f>
        <v>8.9340277777777699E-2</v>
      </c>
      <c r="R60" s="16" t="str">
        <f ca="1">IFERROR(__xludf.DUMMYFUNCTION("""COMPUTED_VALUE"""),"PB")</f>
        <v>PB</v>
      </c>
      <c r="S60" s="16">
        <f ca="1">IFERROR(__xludf.DUMMYFUNCTION("""COMPUTED_VALUE"""),60)</f>
        <v>60</v>
      </c>
      <c r="T60" s="23">
        <f ca="1">IFERROR(__xludf.DUMMYFUNCTION("""COMPUTED_VALUE"""),0.06169)</f>
        <v>6.1690000000000002E-2</v>
      </c>
      <c r="U60" s="16">
        <f ca="1">IFERROR(__xludf.DUMMYFUNCTION("""COMPUTED_VALUE"""),1)</f>
        <v>1</v>
      </c>
      <c r="V60" s="16">
        <f ca="1">IFERROR(__xludf.DUMMYFUNCTION("""COMPUTED_VALUE"""),60)</f>
        <v>60</v>
      </c>
      <c r="W60" s="23">
        <f ca="1">IFERROR(__xludf.DUMMYFUNCTION("""COMPUTED_VALUE"""),0.0859375)</f>
        <v>8.59375E-2</v>
      </c>
      <c r="X60" s="16">
        <f ca="1">IFERROR(__xludf.DUMMYFUNCTION("""COMPUTED_VALUE"""),2)</f>
        <v>2</v>
      </c>
      <c r="Y60" s="16">
        <f ca="1">IFERROR(__xludf.DUMMYFUNCTION("""COMPUTED_VALUE"""),59)</f>
        <v>59</v>
      </c>
      <c r="Z60" s="16">
        <f ca="1">IFERROR(__xludf.DUMMYFUNCTION("""COMPUTED_VALUE"""),0)</f>
        <v>0</v>
      </c>
      <c r="AA60" s="16">
        <f ca="1">IFERROR(__xludf.DUMMYFUNCTION("""COMPUTED_VALUE"""),0)</f>
        <v>0</v>
      </c>
      <c r="AB60" s="16">
        <f ca="1">IFERROR(__xludf.DUMMYFUNCTION("""COMPUTED_VALUE"""),0)</f>
        <v>0</v>
      </c>
      <c r="AC60" s="16">
        <f ca="1">IFERROR(__xludf.DUMMYFUNCTION("""COMPUTED_VALUE"""),0)</f>
        <v>0</v>
      </c>
      <c r="AD60" s="16">
        <f ca="1">IFERROR(__xludf.DUMMYFUNCTION("""COMPUTED_VALUE"""),0)</f>
        <v>0</v>
      </c>
      <c r="AE60" s="16">
        <f ca="1">IFERROR(__xludf.DUMMYFUNCTION("""COMPUTED_VALUE"""),0)</f>
        <v>0</v>
      </c>
      <c r="AF60" s="16" t="str">
        <f ca="1">IFERROR(__xludf.DUMMYFUNCTION("""COMPUTED_VALUE"""),"")</f>
        <v/>
      </c>
      <c r="AG60" s="16">
        <f ca="1">IFERROR(__xludf.DUMMYFUNCTION("""COMPUTED_VALUE"""),0)</f>
        <v>0</v>
      </c>
      <c r="AH60" s="16">
        <f ca="1">IFERROR(__xludf.DUMMYFUNCTION("""COMPUTED_VALUE"""),0)</f>
        <v>0</v>
      </c>
      <c r="AI60" s="16" t="str">
        <f ca="1">IFERROR(__xludf.DUMMYFUNCTION("""COMPUTED_VALUE"""),"")</f>
        <v/>
      </c>
      <c r="AJ60" s="16" t="str">
        <f ca="1">IFERROR(__xludf.DUMMYFUNCTION("""COMPUTED_VALUE"""),"")</f>
        <v/>
      </c>
      <c r="AK60" s="16" t="str">
        <f ca="1">IFERROR(__xludf.DUMMYFUNCTION("""COMPUTED_VALUE"""),"PB")</f>
        <v>PB</v>
      </c>
      <c r="AL60" s="16" t="str">
        <f ca="1">IFERROR(__xludf.DUMMYFUNCTION("""COMPUTED_VALUE"""),"")</f>
        <v/>
      </c>
      <c r="AM60" s="16" t="str">
        <f ca="1">IFERROR(__xludf.DUMMYFUNCTION("""COMPUTED_VALUE"""),"")</f>
        <v/>
      </c>
      <c r="AN60" s="24" t="str">
        <f ca="1">IFERROR(__xludf.DUMMYFUNCTION("""COMPUTED_VALUE"""),"")</f>
        <v/>
      </c>
    </row>
    <row r="61" spans="1:40" x14ac:dyDescent="0.2">
      <c r="A61" s="20">
        <f ca="1">IF($H61="","",IF(ISERROR(MATCH($O61,Lge_Scratch!$B:$B,0)),1,0))</f>
        <v>0</v>
      </c>
      <c r="B61" s="20">
        <f ca="1">IF($H61="","",IF(AND($AG61&gt;0,ISERROR(MATCH($O61,Lge_NonAero!$B:$B,0))),1,0))</f>
        <v>0</v>
      </c>
      <c r="C61" s="20">
        <f ca="1">IF($H61="","",IF(ISERROR(MATCH($O61,Lge_Handicap!$B:$B,0)),1,0))</f>
        <v>0</v>
      </c>
      <c r="D61" s="20">
        <f ca="1">IF($H61="","",IF(AND(LEFT($P61,3)="Wom",ISERROR(MATCH($O61,Lge_Womens!$B:$B,0))),1,0))</f>
        <v>0</v>
      </c>
      <c r="E61" s="20">
        <f ca="1">IF($H61="","",IF(AND(OR($P61="Vet",$P61="Woman Vet"),ISERROR(MATCH($O61,Lge_Veterans!$B:$B,0))),1,0))</f>
        <v>0</v>
      </c>
      <c r="F61" s="20">
        <f ca="1">IF($H61="","",IF(AND(OR($P61="Junior",$P61="Youth"),ISERROR(MATCH($O61,Lge_Junior!$B:$B,0))),1,0))</f>
        <v>0</v>
      </c>
      <c r="G61" s="20">
        <f ca="1">IF($H61="","",IF(AND($P61="Youth",ISERROR(MATCH($O61,Lge_Youth!$B:$B,0))),1,0))</f>
        <v>0</v>
      </c>
      <c r="H61" s="16" t="str">
        <f ca="1">IFERROR(__xludf.DUMMYFUNCTION("""COMPUTED_VALUE"""),"45858_Sunday League_50")</f>
        <v>45858_Sunday League_50</v>
      </c>
      <c r="I61" s="16" t="str">
        <f ca="1">IFERROR(__xludf.DUMMYFUNCTION("""COMPUTED_VALUE"""),"45858_Sunday League_50_2")</f>
        <v>45858_Sunday League_50_2</v>
      </c>
      <c r="J61" s="16">
        <f ca="1">IFERROR(__xludf.DUMMYFUNCTION("""COMPUTED_VALUE"""),3)</f>
        <v>3</v>
      </c>
      <c r="K61" s="16" t="str">
        <f ca="1">IFERROR(__xludf.DUMMYFUNCTION("""COMPUTED_VALUE"""),"Sunday League")</f>
        <v>Sunday League</v>
      </c>
      <c r="L61" s="22">
        <f ca="1">IFERROR(__xludf.DUMMYFUNCTION("""COMPUTED_VALUE"""),45858)</f>
        <v>45858</v>
      </c>
      <c r="M61" s="16">
        <f ca="1">IFERROR(__xludf.DUMMYFUNCTION("""COMPUTED_VALUE"""),50)</f>
        <v>50</v>
      </c>
      <c r="N61" s="16">
        <f ca="1">IFERROR(__xludf.DUMMYFUNCTION("""COMPUTED_VALUE"""),2)</f>
        <v>2</v>
      </c>
      <c r="O61" s="16" t="str">
        <f ca="1">IFERROR(__xludf.DUMMYFUNCTION("""COMPUTED_VALUE"""),"Philip Brant")</f>
        <v>Philip Brant</v>
      </c>
      <c r="P61" s="16" t="str">
        <f ca="1">IFERROR(__xludf.DUMMYFUNCTION("""COMPUTED_VALUE"""),"Vet")</f>
        <v>Vet</v>
      </c>
      <c r="Q61" s="23">
        <f ca="1">IFERROR(__xludf.DUMMYFUNCTION("""COMPUTED_VALUE"""),0.0904976851851851)</f>
        <v>9.0497685185185098E-2</v>
      </c>
      <c r="R61" s="16" t="str">
        <f ca="1">IFERROR(__xludf.DUMMYFUNCTION("""COMPUTED_VALUE"""),"")</f>
        <v/>
      </c>
      <c r="S61" s="16">
        <f ca="1">IFERROR(__xludf.DUMMYFUNCTION("""COMPUTED_VALUE"""),59)</f>
        <v>59</v>
      </c>
      <c r="T61" s="23">
        <f ca="1">IFERROR(__xludf.DUMMYFUNCTION("""COMPUTED_VALUE"""),0.062454)</f>
        <v>6.2454000000000003E-2</v>
      </c>
      <c r="U61" s="16">
        <f ca="1">IFERROR(__xludf.DUMMYFUNCTION("""COMPUTED_VALUE"""),3)</f>
        <v>3</v>
      </c>
      <c r="V61" s="16">
        <f ca="1">IFERROR(__xludf.DUMMYFUNCTION("""COMPUTED_VALUE"""),58)</f>
        <v>58</v>
      </c>
      <c r="W61" s="23">
        <f ca="1">IFERROR(__xludf.DUMMYFUNCTION("""COMPUTED_VALUE"""),0.0762384259259259)</f>
        <v>7.6238425925925904E-2</v>
      </c>
      <c r="X61" s="16">
        <f ca="1">IFERROR(__xludf.DUMMYFUNCTION("""COMPUTED_VALUE"""),1)</f>
        <v>1</v>
      </c>
      <c r="Y61" s="16">
        <f ca="1">IFERROR(__xludf.DUMMYFUNCTION("""COMPUTED_VALUE"""),60)</f>
        <v>60</v>
      </c>
      <c r="Z61" s="16">
        <f ca="1">IFERROR(__xludf.DUMMYFUNCTION("""COMPUTED_VALUE"""),0)</f>
        <v>0</v>
      </c>
      <c r="AA61" s="16">
        <f ca="1">IFERROR(__xludf.DUMMYFUNCTION("""COMPUTED_VALUE"""),0)</f>
        <v>0</v>
      </c>
      <c r="AB61" s="16">
        <f ca="1">IFERROR(__xludf.DUMMYFUNCTION("""COMPUTED_VALUE"""),0)</f>
        <v>0</v>
      </c>
      <c r="AC61" s="16">
        <f ca="1">IFERROR(__xludf.DUMMYFUNCTION("""COMPUTED_VALUE"""),0)</f>
        <v>0</v>
      </c>
      <c r="AD61" s="16">
        <f ca="1">IFERROR(__xludf.DUMMYFUNCTION("""COMPUTED_VALUE"""),0)</f>
        <v>0</v>
      </c>
      <c r="AE61" s="16">
        <f ca="1">IFERROR(__xludf.DUMMYFUNCTION("""COMPUTED_VALUE"""),0)</f>
        <v>0</v>
      </c>
      <c r="AF61" s="16" t="str">
        <f ca="1">IFERROR(__xludf.DUMMYFUNCTION("""COMPUTED_VALUE"""),"")</f>
        <v/>
      </c>
      <c r="AG61" s="16">
        <f ca="1">IFERROR(__xludf.DUMMYFUNCTION("""COMPUTED_VALUE"""),0)</f>
        <v>0</v>
      </c>
      <c r="AH61" s="16">
        <f ca="1">IFERROR(__xludf.DUMMYFUNCTION("""COMPUTED_VALUE"""),0)</f>
        <v>0</v>
      </c>
      <c r="AI61" s="16" t="str">
        <f ca="1">IFERROR(__xludf.DUMMYFUNCTION("""COMPUTED_VALUE"""),"")</f>
        <v/>
      </c>
      <c r="AJ61" s="16" t="str">
        <f ca="1">IFERROR(__xludf.DUMMYFUNCTION("""COMPUTED_VALUE"""),"")</f>
        <v/>
      </c>
      <c r="AK61" s="16" t="str">
        <f ca="1">IFERROR(__xludf.DUMMYFUNCTION("""COMPUTED_VALUE"""),"")</f>
        <v/>
      </c>
      <c r="AL61" s="16" t="str">
        <f ca="1">IFERROR(__xludf.DUMMYFUNCTION("""COMPUTED_VALUE"""),"")</f>
        <v/>
      </c>
      <c r="AM61" s="16" t="str">
        <f ca="1">IFERROR(__xludf.DUMMYFUNCTION("""COMPUTED_VALUE"""),"")</f>
        <v/>
      </c>
      <c r="AN61" s="24" t="str">
        <f ca="1">IFERROR(__xludf.DUMMYFUNCTION("""COMPUTED_VALUE"""),"")</f>
        <v/>
      </c>
    </row>
    <row r="62" spans="1:40" x14ac:dyDescent="0.2">
      <c r="A62" s="20">
        <f ca="1">IF($H62="","",IF(ISERROR(MATCH($O62,Lge_Scratch!$B:$B,0)),1,0))</f>
        <v>0</v>
      </c>
      <c r="B62" s="20">
        <f ca="1">IF($H62="","",IF(AND($AG62&gt;0,ISERROR(MATCH($O62,Lge_NonAero!$B:$B,0))),1,0))</f>
        <v>0</v>
      </c>
      <c r="C62" s="20">
        <f ca="1">IF($H62="","",IF(ISERROR(MATCH($O62,Lge_Handicap!$B:$B,0)),1,0))</f>
        <v>0</v>
      </c>
      <c r="D62" s="20">
        <f ca="1">IF($H62="","",IF(AND(LEFT($P62,3)="Wom",ISERROR(MATCH($O62,Lge_Womens!$B:$B,0))),1,0))</f>
        <v>0</v>
      </c>
      <c r="E62" s="20">
        <f ca="1">IF($H62="","",IF(AND(OR($P62="Vet",$P62="Woman Vet"),ISERROR(MATCH($O62,Lge_Veterans!$B:$B,0))),1,0))</f>
        <v>0</v>
      </c>
      <c r="F62" s="20">
        <f ca="1">IF($H62="","",IF(AND(OR($P62="Junior",$P62="Youth"),ISERROR(MATCH($O62,Lge_Junior!$B:$B,0))),1,0))</f>
        <v>0</v>
      </c>
      <c r="G62" s="20">
        <f ca="1">IF($H62="","",IF(AND($P62="Youth",ISERROR(MATCH($O62,Lge_Youth!$B:$B,0))),1,0))</f>
        <v>0</v>
      </c>
      <c r="H62" s="16" t="str">
        <f ca="1">IFERROR(__xludf.DUMMYFUNCTION("""COMPUTED_VALUE"""),"45858_Sunday League_50")</f>
        <v>45858_Sunday League_50</v>
      </c>
      <c r="I62" s="16" t="str">
        <f ca="1">IFERROR(__xludf.DUMMYFUNCTION("""COMPUTED_VALUE"""),"45858_Sunday League_50_3")</f>
        <v>45858_Sunday League_50_3</v>
      </c>
      <c r="J62" s="16">
        <f ca="1">IFERROR(__xludf.DUMMYFUNCTION("""COMPUTED_VALUE"""),3)</f>
        <v>3</v>
      </c>
      <c r="K62" s="16" t="str">
        <f ca="1">IFERROR(__xludf.DUMMYFUNCTION("""COMPUTED_VALUE"""),"Sunday League")</f>
        <v>Sunday League</v>
      </c>
      <c r="L62" s="22">
        <f ca="1">IFERROR(__xludf.DUMMYFUNCTION("""COMPUTED_VALUE"""),45858)</f>
        <v>45858</v>
      </c>
      <c r="M62" s="16">
        <f ca="1">IFERROR(__xludf.DUMMYFUNCTION("""COMPUTED_VALUE"""),50)</f>
        <v>50</v>
      </c>
      <c r="N62" s="16">
        <f ca="1">IFERROR(__xludf.DUMMYFUNCTION("""COMPUTED_VALUE"""),3)</f>
        <v>3</v>
      </c>
      <c r="O62" s="16" t="str">
        <f ca="1">IFERROR(__xludf.DUMMYFUNCTION("""COMPUTED_VALUE"""),"Paul Gribbon")</f>
        <v>Paul Gribbon</v>
      </c>
      <c r="P62" s="16" t="str">
        <f ca="1">IFERROR(__xludf.DUMMYFUNCTION("""COMPUTED_VALUE"""),"Vet")</f>
        <v>Vet</v>
      </c>
      <c r="Q62" s="23">
        <f ca="1">IFERROR(__xludf.DUMMYFUNCTION("""COMPUTED_VALUE"""),0.0942476851851851)</f>
        <v>9.4247685185185101E-2</v>
      </c>
      <c r="R62" s="16" t="str">
        <f ca="1">IFERROR(__xludf.DUMMYFUNCTION("""COMPUTED_VALUE"""),"PB")</f>
        <v>PB</v>
      </c>
      <c r="S62" s="16">
        <f ca="1">IFERROR(__xludf.DUMMYFUNCTION("""COMPUTED_VALUE"""),58)</f>
        <v>58</v>
      </c>
      <c r="T62" s="23">
        <f ca="1">IFERROR(__xludf.DUMMYFUNCTION("""COMPUTED_VALUE"""),0.062014)</f>
        <v>6.2014E-2</v>
      </c>
      <c r="U62" s="16">
        <f ca="1">IFERROR(__xludf.DUMMYFUNCTION("""COMPUTED_VALUE"""),2)</f>
        <v>2</v>
      </c>
      <c r="V62" s="16">
        <f ca="1">IFERROR(__xludf.DUMMYFUNCTION("""COMPUTED_VALUE"""),59)</f>
        <v>59</v>
      </c>
      <c r="W62" s="23">
        <f ca="1">IFERROR(__xludf.DUMMYFUNCTION("""COMPUTED_VALUE"""),0.0904398148148148)</f>
        <v>9.0439814814814806E-2</v>
      </c>
      <c r="X62" s="16">
        <f ca="1">IFERROR(__xludf.DUMMYFUNCTION("""COMPUTED_VALUE"""),3)</f>
        <v>3</v>
      </c>
      <c r="Y62" s="16">
        <f ca="1">IFERROR(__xludf.DUMMYFUNCTION("""COMPUTED_VALUE"""),58)</f>
        <v>58</v>
      </c>
      <c r="Z62" s="16">
        <f ca="1">IFERROR(__xludf.DUMMYFUNCTION("""COMPUTED_VALUE"""),0)</f>
        <v>0</v>
      </c>
      <c r="AA62" s="16">
        <f ca="1">IFERROR(__xludf.DUMMYFUNCTION("""COMPUTED_VALUE"""),0)</f>
        <v>0</v>
      </c>
      <c r="AB62" s="16">
        <f ca="1">IFERROR(__xludf.DUMMYFUNCTION("""COMPUTED_VALUE"""),0)</f>
        <v>0</v>
      </c>
      <c r="AC62" s="16">
        <f ca="1">IFERROR(__xludf.DUMMYFUNCTION("""COMPUTED_VALUE"""),0)</f>
        <v>0</v>
      </c>
      <c r="AD62" s="16">
        <f ca="1">IFERROR(__xludf.DUMMYFUNCTION("""COMPUTED_VALUE"""),0)</f>
        <v>0</v>
      </c>
      <c r="AE62" s="16">
        <f ca="1">IFERROR(__xludf.DUMMYFUNCTION("""COMPUTED_VALUE"""),0)</f>
        <v>0</v>
      </c>
      <c r="AF62" s="16" t="str">
        <f ca="1">IFERROR(__xludf.DUMMYFUNCTION("""COMPUTED_VALUE"""),"")</f>
        <v/>
      </c>
      <c r="AG62" s="16">
        <f ca="1">IFERROR(__xludf.DUMMYFUNCTION("""COMPUTED_VALUE"""),0)</f>
        <v>0</v>
      </c>
      <c r="AH62" s="16">
        <f ca="1">IFERROR(__xludf.DUMMYFUNCTION("""COMPUTED_VALUE"""),0)</f>
        <v>0</v>
      </c>
      <c r="AI62" s="16" t="str">
        <f ca="1">IFERROR(__xludf.DUMMYFUNCTION("""COMPUTED_VALUE"""),"")</f>
        <v/>
      </c>
      <c r="AJ62" s="16" t="str">
        <f ca="1">IFERROR(__xludf.DUMMYFUNCTION("""COMPUTED_VALUE"""),"")</f>
        <v/>
      </c>
      <c r="AK62" s="16" t="str">
        <f ca="1">IFERROR(__xludf.DUMMYFUNCTION("""COMPUTED_VALUE"""),"PB")</f>
        <v>PB</v>
      </c>
      <c r="AL62" s="16" t="str">
        <f ca="1">IFERROR(__xludf.DUMMYFUNCTION("""COMPUTED_VALUE"""),"")</f>
        <v/>
      </c>
      <c r="AM62" s="16" t="str">
        <f ca="1">IFERROR(__xludf.DUMMYFUNCTION("""COMPUTED_VALUE"""),"")</f>
        <v/>
      </c>
      <c r="AN62" s="24" t="str">
        <f ca="1">IFERROR(__xludf.DUMMYFUNCTION("""COMPUTED_VALUE"""),"")</f>
        <v/>
      </c>
    </row>
    <row r="63" spans="1:40" x14ac:dyDescent="0.2">
      <c r="A63" s="20">
        <f ca="1">IF($H63="","",IF(ISERROR(MATCH($O63,Lge_Scratch!$B:$B,0)),1,0))</f>
        <v>0</v>
      </c>
      <c r="B63" s="20">
        <f ca="1">IF($H63="","",IF(AND($AG63&gt;0,ISERROR(MATCH($O63,Lge_NonAero!$B:$B,0))),1,0))</f>
        <v>0</v>
      </c>
      <c r="C63" s="20">
        <f ca="1">IF($H63="","",IF(ISERROR(MATCH($O63,Lge_Handicap!$B:$B,0)),1,0))</f>
        <v>0</v>
      </c>
      <c r="D63" s="20">
        <f ca="1">IF($H63="","",IF(AND(LEFT($P63,3)="Wom",ISERROR(MATCH($O63,Lge_Womens!$B:$B,0))),1,0))</f>
        <v>0</v>
      </c>
      <c r="E63" s="20">
        <f ca="1">IF($H63="","",IF(AND(OR($P63="Vet",$P63="Woman Vet"),ISERROR(MATCH($O63,Lge_Veterans!$B:$B,0))),1,0))</f>
        <v>0</v>
      </c>
      <c r="F63" s="20">
        <f ca="1">IF($H63="","",IF(AND(OR($P63="Junior",$P63="Youth"),ISERROR(MATCH($O63,Lge_Junior!$B:$B,0))),1,0))</f>
        <v>0</v>
      </c>
      <c r="G63" s="20">
        <f ca="1">IF($H63="","",IF(AND($P63="Youth",ISERROR(MATCH($O63,Lge_Youth!$B:$B,0))),1,0))</f>
        <v>0</v>
      </c>
      <c r="H63" s="16" t="str">
        <f ca="1">IFERROR(__xludf.DUMMYFUNCTION("""COMPUTED_VALUE"""),"45865_Sunday League_25")</f>
        <v>45865_Sunday League_25</v>
      </c>
      <c r="I63" s="16" t="str">
        <f ca="1">IFERROR(__xludf.DUMMYFUNCTION("""COMPUTED_VALUE"""),"45865_Sunday League_25_1")</f>
        <v>45865_Sunday League_25_1</v>
      </c>
      <c r="J63" s="16">
        <f ca="1">IFERROR(__xludf.DUMMYFUNCTION("""COMPUTED_VALUE"""),7)</f>
        <v>7</v>
      </c>
      <c r="K63" s="16" t="str">
        <f ca="1">IFERROR(__xludf.DUMMYFUNCTION("""COMPUTED_VALUE"""),"Sunday League")</f>
        <v>Sunday League</v>
      </c>
      <c r="L63" s="22">
        <f ca="1">IFERROR(__xludf.DUMMYFUNCTION("""COMPUTED_VALUE"""),45865)</f>
        <v>45865</v>
      </c>
      <c r="M63" s="16">
        <f ca="1">IFERROR(__xludf.DUMMYFUNCTION("""COMPUTED_VALUE"""),25)</f>
        <v>25</v>
      </c>
      <c r="N63" s="16">
        <f ca="1">IFERROR(__xludf.DUMMYFUNCTION("""COMPUTED_VALUE"""),1)</f>
        <v>1</v>
      </c>
      <c r="O63" s="16" t="str">
        <f ca="1">IFERROR(__xludf.DUMMYFUNCTION("""COMPUTED_VALUE"""),"David Carey")</f>
        <v>David Carey</v>
      </c>
      <c r="P63" s="16" t="str">
        <f ca="1">IFERROR(__xludf.DUMMYFUNCTION("""COMPUTED_VALUE"""),"Vet")</f>
        <v>Vet</v>
      </c>
      <c r="Q63" s="23">
        <f ca="1">IFERROR(__xludf.DUMMYFUNCTION("""COMPUTED_VALUE"""),0.0414814814814814)</f>
        <v>4.1481481481481397E-2</v>
      </c>
      <c r="R63" s="16" t="str">
        <f ca="1">IFERROR(__xludf.DUMMYFUNCTION("""COMPUTED_VALUE"""),"CB")</f>
        <v>CB</v>
      </c>
      <c r="S63" s="16">
        <f ca="1">IFERROR(__xludf.DUMMYFUNCTION("""COMPUTED_VALUE"""),60)</f>
        <v>60</v>
      </c>
      <c r="T63" s="23">
        <f ca="1">IFERROR(__xludf.DUMMYFUNCTION("""COMPUTED_VALUE"""),0.029977)</f>
        <v>2.9977E-2</v>
      </c>
      <c r="U63" s="16">
        <f ca="1">IFERROR(__xludf.DUMMYFUNCTION("""COMPUTED_VALUE"""),1)</f>
        <v>1</v>
      </c>
      <c r="V63" s="16">
        <f ca="1">IFERROR(__xludf.DUMMYFUNCTION("""COMPUTED_VALUE"""),60)</f>
        <v>60</v>
      </c>
      <c r="W63" s="23">
        <f ca="1">IFERROR(__xludf.DUMMYFUNCTION("""COMPUTED_VALUE"""),0.0396296296296296)</f>
        <v>3.9629629629629598E-2</v>
      </c>
      <c r="X63" s="16">
        <f ca="1">IFERROR(__xludf.DUMMYFUNCTION("""COMPUTED_VALUE"""),2)</f>
        <v>2</v>
      </c>
      <c r="Y63" s="16">
        <f ca="1">IFERROR(__xludf.DUMMYFUNCTION("""COMPUTED_VALUE"""),59)</f>
        <v>59</v>
      </c>
      <c r="Z63" s="16">
        <f ca="1">IFERROR(__xludf.DUMMYFUNCTION("""COMPUTED_VALUE"""),0)</f>
        <v>0</v>
      </c>
      <c r="AA63" s="16">
        <f ca="1">IFERROR(__xludf.DUMMYFUNCTION("""COMPUTED_VALUE"""),0)</f>
        <v>0</v>
      </c>
      <c r="AB63" s="16">
        <f ca="1">IFERROR(__xludf.DUMMYFUNCTION("""COMPUTED_VALUE"""),0)</f>
        <v>0</v>
      </c>
      <c r="AC63" s="16">
        <f ca="1">IFERROR(__xludf.DUMMYFUNCTION("""COMPUTED_VALUE"""),0)</f>
        <v>0</v>
      </c>
      <c r="AD63" s="16">
        <f ca="1">IFERROR(__xludf.DUMMYFUNCTION("""COMPUTED_VALUE"""),0)</f>
        <v>0</v>
      </c>
      <c r="AE63" s="16">
        <f ca="1">IFERROR(__xludf.DUMMYFUNCTION("""COMPUTED_VALUE"""),0)</f>
        <v>0</v>
      </c>
      <c r="AF63" s="16" t="str">
        <f ca="1">IFERROR(__xludf.DUMMYFUNCTION("""COMPUTED_VALUE"""),"")</f>
        <v/>
      </c>
      <c r="AG63" s="16">
        <f ca="1">IFERROR(__xludf.DUMMYFUNCTION("""COMPUTED_VALUE"""),0)</f>
        <v>0</v>
      </c>
      <c r="AH63" s="16">
        <f ca="1">IFERROR(__xludf.DUMMYFUNCTION("""COMPUTED_VALUE"""),0)</f>
        <v>0</v>
      </c>
      <c r="AI63" s="16" t="str">
        <f ca="1">IFERROR(__xludf.DUMMYFUNCTION("""COMPUTED_VALUE"""),"")</f>
        <v/>
      </c>
      <c r="AJ63" s="16" t="str">
        <f ca="1">IFERROR(__xludf.DUMMYFUNCTION("""COMPUTED_VALUE"""),"")</f>
        <v/>
      </c>
      <c r="AK63" s="16" t="str">
        <f ca="1">IFERROR(__xludf.DUMMYFUNCTION("""COMPUTED_VALUE"""),"CB")</f>
        <v>CB</v>
      </c>
      <c r="AL63" s="16" t="str">
        <f ca="1">IFERROR(__xludf.DUMMYFUNCTION("""COMPUTED_VALUE"""),"")</f>
        <v/>
      </c>
      <c r="AM63" s="16" t="str">
        <f ca="1">IFERROR(__xludf.DUMMYFUNCTION("""COMPUTED_VALUE"""),"")</f>
        <v/>
      </c>
      <c r="AN63" s="24" t="str">
        <f ca="1">IFERROR(__xludf.DUMMYFUNCTION("""COMPUTED_VALUE"""),"")</f>
        <v/>
      </c>
    </row>
    <row r="64" spans="1:40" x14ac:dyDescent="0.2">
      <c r="A64" s="20">
        <f ca="1">IF($H64="","",IF(ISERROR(MATCH($O64,Lge_Scratch!$B:$B,0)),1,0))</f>
        <v>0</v>
      </c>
      <c r="B64" s="20">
        <f ca="1">IF($H64="","",IF(AND($AG64&gt;0,ISERROR(MATCH($O64,Lge_NonAero!$B:$B,0))),1,0))</f>
        <v>0</v>
      </c>
      <c r="C64" s="20">
        <f ca="1">IF($H64="","",IF(ISERROR(MATCH($O64,Lge_Handicap!$B:$B,0)),1,0))</f>
        <v>0</v>
      </c>
      <c r="D64" s="20">
        <f ca="1">IF($H64="","",IF(AND(LEFT($P64,3)="Wom",ISERROR(MATCH($O64,Lge_Womens!$B:$B,0))),1,0))</f>
        <v>0</v>
      </c>
      <c r="E64" s="20">
        <f ca="1">IF($H64="","",IF(AND(OR($P64="Vet",$P64="Woman Vet"),ISERROR(MATCH($O64,Lge_Veterans!$B:$B,0))),1,0))</f>
        <v>0</v>
      </c>
      <c r="F64" s="20">
        <f ca="1">IF($H64="","",IF(AND(OR($P64="Junior",$P64="Youth"),ISERROR(MATCH($O64,Lge_Junior!$B:$B,0))),1,0))</f>
        <v>0</v>
      </c>
      <c r="G64" s="20">
        <f ca="1">IF($H64="","",IF(AND($P64="Youth",ISERROR(MATCH($O64,Lge_Youth!$B:$B,0))),1,0))</f>
        <v>0</v>
      </c>
      <c r="H64" s="16" t="str">
        <f ca="1">IFERROR(__xludf.DUMMYFUNCTION("""COMPUTED_VALUE"""),"45865_Sunday League_25")</f>
        <v>45865_Sunday League_25</v>
      </c>
      <c r="I64" s="16" t="str">
        <f ca="1">IFERROR(__xludf.DUMMYFUNCTION("""COMPUTED_VALUE"""),"45865_Sunday League_25_2")</f>
        <v>45865_Sunday League_25_2</v>
      </c>
      <c r="J64" s="16">
        <f ca="1">IFERROR(__xludf.DUMMYFUNCTION("""COMPUTED_VALUE"""),7)</f>
        <v>7</v>
      </c>
      <c r="K64" s="16" t="str">
        <f ca="1">IFERROR(__xludf.DUMMYFUNCTION("""COMPUTED_VALUE"""),"Sunday League")</f>
        <v>Sunday League</v>
      </c>
      <c r="L64" s="22">
        <f ca="1">IFERROR(__xludf.DUMMYFUNCTION("""COMPUTED_VALUE"""),45865)</f>
        <v>45865</v>
      </c>
      <c r="M64" s="16">
        <f ca="1">IFERROR(__xludf.DUMMYFUNCTION("""COMPUTED_VALUE"""),25)</f>
        <v>25</v>
      </c>
      <c r="N64" s="16">
        <f ca="1">IFERROR(__xludf.DUMMYFUNCTION("""COMPUTED_VALUE"""),2)</f>
        <v>2</v>
      </c>
      <c r="O64" s="16" t="str">
        <f ca="1">IFERROR(__xludf.DUMMYFUNCTION("""COMPUTED_VALUE"""),"Philip Brant")</f>
        <v>Philip Brant</v>
      </c>
      <c r="P64" s="16" t="str">
        <f ca="1">IFERROR(__xludf.DUMMYFUNCTION("""COMPUTED_VALUE"""),"Vet")</f>
        <v>Vet</v>
      </c>
      <c r="Q64" s="23">
        <f ca="1">IFERROR(__xludf.DUMMYFUNCTION("""COMPUTED_VALUE"""),0.0417129629629629)</f>
        <v>4.1712962962962903E-2</v>
      </c>
      <c r="R64" s="16" t="str">
        <f ca="1">IFERROR(__xludf.DUMMYFUNCTION("""COMPUTED_VALUE"""),"PB")</f>
        <v>PB</v>
      </c>
      <c r="S64" s="16">
        <f ca="1">IFERROR(__xludf.DUMMYFUNCTION("""COMPUTED_VALUE"""),59)</f>
        <v>59</v>
      </c>
      <c r="T64" s="23">
        <f ca="1">IFERROR(__xludf.DUMMYFUNCTION("""COMPUTED_VALUE"""),0.03)</f>
        <v>0.03</v>
      </c>
      <c r="U64" s="16">
        <f ca="1">IFERROR(__xludf.DUMMYFUNCTION("""COMPUTED_VALUE"""),2)</f>
        <v>2</v>
      </c>
      <c r="V64" s="16">
        <f ca="1">IFERROR(__xludf.DUMMYFUNCTION("""COMPUTED_VALUE"""),59)</f>
        <v>59</v>
      </c>
      <c r="W64" s="23">
        <f ca="1">IFERROR(__xludf.DUMMYFUNCTION("""COMPUTED_VALUE"""),0.0349884259259259)</f>
        <v>3.4988425925925902E-2</v>
      </c>
      <c r="X64" s="16">
        <f ca="1">IFERROR(__xludf.DUMMYFUNCTION("""COMPUTED_VALUE"""),1)</f>
        <v>1</v>
      </c>
      <c r="Y64" s="16">
        <f ca="1">IFERROR(__xludf.DUMMYFUNCTION("""COMPUTED_VALUE"""),60)</f>
        <v>60</v>
      </c>
      <c r="Z64" s="16">
        <f ca="1">IFERROR(__xludf.DUMMYFUNCTION("""COMPUTED_VALUE"""),0)</f>
        <v>0</v>
      </c>
      <c r="AA64" s="16">
        <f ca="1">IFERROR(__xludf.DUMMYFUNCTION("""COMPUTED_VALUE"""),0)</f>
        <v>0</v>
      </c>
      <c r="AB64" s="16">
        <f ca="1">IFERROR(__xludf.DUMMYFUNCTION("""COMPUTED_VALUE"""),0)</f>
        <v>0</v>
      </c>
      <c r="AC64" s="16">
        <f ca="1">IFERROR(__xludf.DUMMYFUNCTION("""COMPUTED_VALUE"""),0)</f>
        <v>0</v>
      </c>
      <c r="AD64" s="16">
        <f ca="1">IFERROR(__xludf.DUMMYFUNCTION("""COMPUTED_VALUE"""),0)</f>
        <v>0</v>
      </c>
      <c r="AE64" s="16">
        <f ca="1">IFERROR(__xludf.DUMMYFUNCTION("""COMPUTED_VALUE"""),0)</f>
        <v>0</v>
      </c>
      <c r="AF64" s="16" t="str">
        <f ca="1">IFERROR(__xludf.DUMMYFUNCTION("""COMPUTED_VALUE"""),"")</f>
        <v/>
      </c>
      <c r="AG64" s="16">
        <f ca="1">IFERROR(__xludf.DUMMYFUNCTION("""COMPUTED_VALUE"""),0)</f>
        <v>0</v>
      </c>
      <c r="AH64" s="16">
        <f ca="1">IFERROR(__xludf.DUMMYFUNCTION("""COMPUTED_VALUE"""),0)</f>
        <v>0</v>
      </c>
      <c r="AI64" s="16" t="str">
        <f ca="1">IFERROR(__xludf.DUMMYFUNCTION("""COMPUTED_VALUE"""),"")</f>
        <v/>
      </c>
      <c r="AJ64" s="16" t="str">
        <f ca="1">IFERROR(__xludf.DUMMYFUNCTION("""COMPUTED_VALUE"""),"")</f>
        <v/>
      </c>
      <c r="AK64" s="16" t="str">
        <f ca="1">IFERROR(__xludf.DUMMYFUNCTION("""COMPUTED_VALUE"""),"PB")</f>
        <v>PB</v>
      </c>
      <c r="AL64" s="16" t="str">
        <f ca="1">IFERROR(__xludf.DUMMYFUNCTION("""COMPUTED_VALUE"""),"")</f>
        <v/>
      </c>
      <c r="AM64" s="16" t="str">
        <f ca="1">IFERROR(__xludf.DUMMYFUNCTION("""COMPUTED_VALUE"""),"")</f>
        <v/>
      </c>
      <c r="AN64" s="24" t="str">
        <f ca="1">IFERROR(__xludf.DUMMYFUNCTION("""COMPUTED_VALUE"""),"")</f>
        <v/>
      </c>
    </row>
    <row r="65" spans="1:40" x14ac:dyDescent="0.2">
      <c r="A65" s="20">
        <f ca="1">IF($H65="","",IF(ISERROR(MATCH($O65,Lge_Scratch!$B:$B,0)),1,0))</f>
        <v>0</v>
      </c>
      <c r="B65" s="20">
        <f ca="1">IF($H65="","",IF(AND($AG65&gt;0,ISERROR(MATCH($O65,Lge_NonAero!$B:$B,0))),1,0))</f>
        <v>0</v>
      </c>
      <c r="C65" s="20">
        <f ca="1">IF($H65="","",IF(ISERROR(MATCH($O65,Lge_Handicap!$B:$B,0)),1,0))</f>
        <v>0</v>
      </c>
      <c r="D65" s="20">
        <f ca="1">IF($H65="","",IF(AND(LEFT($P65,3)="Wom",ISERROR(MATCH($O65,Lge_Womens!$B:$B,0))),1,0))</f>
        <v>0</v>
      </c>
      <c r="E65" s="20">
        <f ca="1">IF($H65="","",IF(AND(OR($P65="Vet",$P65="Woman Vet"),ISERROR(MATCH($O65,Lge_Veterans!$B:$B,0))),1,0))</f>
        <v>0</v>
      </c>
      <c r="F65" s="20">
        <f ca="1">IF($H65="","",IF(AND(OR($P65="Junior",$P65="Youth"),ISERROR(MATCH($O65,Lge_Junior!$B:$B,0))),1,0))</f>
        <v>0</v>
      </c>
      <c r="G65" s="20">
        <f ca="1">IF($H65="","",IF(AND($P65="Youth",ISERROR(MATCH($O65,Lge_Youth!$B:$B,0))),1,0))</f>
        <v>0</v>
      </c>
      <c r="H65" s="16" t="str">
        <f ca="1">IFERROR(__xludf.DUMMYFUNCTION("""COMPUTED_VALUE"""),"45865_Sunday League_25")</f>
        <v>45865_Sunday League_25</v>
      </c>
      <c r="I65" s="16" t="str">
        <f ca="1">IFERROR(__xludf.DUMMYFUNCTION("""COMPUTED_VALUE"""),"45865_Sunday League_25_3")</f>
        <v>45865_Sunday League_25_3</v>
      </c>
      <c r="J65" s="16">
        <f ca="1">IFERROR(__xludf.DUMMYFUNCTION("""COMPUTED_VALUE"""),7)</f>
        <v>7</v>
      </c>
      <c r="K65" s="16" t="str">
        <f ca="1">IFERROR(__xludf.DUMMYFUNCTION("""COMPUTED_VALUE"""),"Sunday League")</f>
        <v>Sunday League</v>
      </c>
      <c r="L65" s="22">
        <f ca="1">IFERROR(__xludf.DUMMYFUNCTION("""COMPUTED_VALUE"""),45865)</f>
        <v>45865</v>
      </c>
      <c r="M65" s="16">
        <f ca="1">IFERROR(__xludf.DUMMYFUNCTION("""COMPUTED_VALUE"""),25)</f>
        <v>25</v>
      </c>
      <c r="N65" s="16">
        <f ca="1">IFERROR(__xludf.DUMMYFUNCTION("""COMPUTED_VALUE"""),3)</f>
        <v>3</v>
      </c>
      <c r="O65" s="16" t="str">
        <f ca="1">IFERROR(__xludf.DUMMYFUNCTION("""COMPUTED_VALUE"""),"Marc Brant")</f>
        <v>Marc Brant</v>
      </c>
      <c r="P65" s="16" t="str">
        <f ca="1">IFERROR(__xludf.DUMMYFUNCTION("""COMPUTED_VALUE"""),"Vet")</f>
        <v>Vet</v>
      </c>
      <c r="Q65" s="23">
        <f ca="1">IFERROR(__xludf.DUMMYFUNCTION("""COMPUTED_VALUE"""),0.0424884259259259)</f>
        <v>4.2488425925925902E-2</v>
      </c>
      <c r="R65" s="16" t="str">
        <f ca="1">IFERROR(__xludf.DUMMYFUNCTION("""COMPUTED_VALUE"""),"PB")</f>
        <v>PB</v>
      </c>
      <c r="S65" s="16">
        <f ca="1">IFERROR(__xludf.DUMMYFUNCTION("""COMPUTED_VALUE"""),58)</f>
        <v>58</v>
      </c>
      <c r="T65" s="23">
        <f ca="1">IFERROR(__xludf.DUMMYFUNCTION("""COMPUTED_VALUE"""),0.030046)</f>
        <v>3.0046E-2</v>
      </c>
      <c r="U65" s="16">
        <f ca="1">IFERROR(__xludf.DUMMYFUNCTION("""COMPUTED_VALUE"""),3)</f>
        <v>3</v>
      </c>
      <c r="V65" s="16">
        <f ca="1">IFERROR(__xludf.DUMMYFUNCTION("""COMPUTED_VALUE"""),58)</f>
        <v>58</v>
      </c>
      <c r="W65" s="23">
        <f ca="1">IFERROR(__xludf.DUMMYFUNCTION("""COMPUTED_VALUE"""),0.0408217592592592)</f>
        <v>4.0821759259259197E-2</v>
      </c>
      <c r="X65" s="16">
        <f ca="1">IFERROR(__xludf.DUMMYFUNCTION("""COMPUTED_VALUE"""),4)</f>
        <v>4</v>
      </c>
      <c r="Y65" s="16">
        <f ca="1">IFERROR(__xludf.DUMMYFUNCTION("""COMPUTED_VALUE"""),57)</f>
        <v>57</v>
      </c>
      <c r="Z65" s="16">
        <f ca="1">IFERROR(__xludf.DUMMYFUNCTION("""COMPUTED_VALUE"""),0)</f>
        <v>0</v>
      </c>
      <c r="AA65" s="16">
        <f ca="1">IFERROR(__xludf.DUMMYFUNCTION("""COMPUTED_VALUE"""),0)</f>
        <v>0</v>
      </c>
      <c r="AB65" s="16">
        <f ca="1">IFERROR(__xludf.DUMMYFUNCTION("""COMPUTED_VALUE"""),0)</f>
        <v>0</v>
      </c>
      <c r="AC65" s="16">
        <f ca="1">IFERROR(__xludf.DUMMYFUNCTION("""COMPUTED_VALUE"""),0)</f>
        <v>0</v>
      </c>
      <c r="AD65" s="16">
        <f ca="1">IFERROR(__xludf.DUMMYFUNCTION("""COMPUTED_VALUE"""),0)</f>
        <v>0</v>
      </c>
      <c r="AE65" s="16">
        <f ca="1">IFERROR(__xludf.DUMMYFUNCTION("""COMPUTED_VALUE"""),0)</f>
        <v>0</v>
      </c>
      <c r="AF65" s="16" t="str">
        <f ca="1">IFERROR(__xludf.DUMMYFUNCTION("""COMPUTED_VALUE"""),"")</f>
        <v/>
      </c>
      <c r="AG65" s="16">
        <f ca="1">IFERROR(__xludf.DUMMYFUNCTION("""COMPUTED_VALUE"""),0)</f>
        <v>0</v>
      </c>
      <c r="AH65" s="16">
        <f ca="1">IFERROR(__xludf.DUMMYFUNCTION("""COMPUTED_VALUE"""),0)</f>
        <v>0</v>
      </c>
      <c r="AI65" s="16" t="str">
        <f ca="1">IFERROR(__xludf.DUMMYFUNCTION("""COMPUTED_VALUE"""),"")</f>
        <v/>
      </c>
      <c r="AJ65" s="16" t="str">
        <f ca="1">IFERROR(__xludf.DUMMYFUNCTION("""COMPUTED_VALUE"""),"")</f>
        <v/>
      </c>
      <c r="AK65" s="16" t="str">
        <f ca="1">IFERROR(__xludf.DUMMYFUNCTION("""COMPUTED_VALUE"""),"PB")</f>
        <v>PB</v>
      </c>
      <c r="AL65" s="16" t="str">
        <f ca="1">IFERROR(__xludf.DUMMYFUNCTION("""COMPUTED_VALUE"""),"")</f>
        <v/>
      </c>
      <c r="AM65" s="16" t="str">
        <f ca="1">IFERROR(__xludf.DUMMYFUNCTION("""COMPUTED_VALUE"""),"")</f>
        <v/>
      </c>
      <c r="AN65" s="24" t="str">
        <f ca="1">IFERROR(__xludf.DUMMYFUNCTION("""COMPUTED_VALUE"""),"")</f>
        <v/>
      </c>
    </row>
    <row r="66" spans="1:40" x14ac:dyDescent="0.2">
      <c r="A66" s="20">
        <f ca="1">IF($H66="","",IF(ISERROR(MATCH($O66,Lge_Scratch!$B:$B,0)),1,0))</f>
        <v>0</v>
      </c>
      <c r="B66" s="20">
        <f ca="1">IF($H66="","",IF(AND($AG66&gt;0,ISERROR(MATCH($O66,Lge_NonAero!$B:$B,0))),1,0))</f>
        <v>0</v>
      </c>
      <c r="C66" s="20">
        <f ca="1">IF($H66="","",IF(ISERROR(MATCH($O66,Lge_Handicap!$B:$B,0)),1,0))</f>
        <v>0</v>
      </c>
      <c r="D66" s="20">
        <f ca="1">IF($H66="","",IF(AND(LEFT($P66,3)="Wom",ISERROR(MATCH($O66,Lge_Womens!$B:$B,0))),1,0))</f>
        <v>0</v>
      </c>
      <c r="E66" s="20">
        <f ca="1">IF($H66="","",IF(AND(OR($P66="Vet",$P66="Woman Vet"),ISERROR(MATCH($O66,Lge_Veterans!$B:$B,0))),1,0))</f>
        <v>0</v>
      </c>
      <c r="F66" s="20">
        <f ca="1">IF($H66="","",IF(AND(OR($P66="Junior",$P66="Youth"),ISERROR(MATCH($O66,Lge_Junior!$B:$B,0))),1,0))</f>
        <v>0</v>
      </c>
      <c r="G66" s="20">
        <f ca="1">IF($H66="","",IF(AND($P66="Youth",ISERROR(MATCH($O66,Lge_Youth!$B:$B,0))),1,0))</f>
        <v>0</v>
      </c>
      <c r="H66" s="16" t="str">
        <f ca="1">IFERROR(__xludf.DUMMYFUNCTION("""COMPUTED_VALUE"""),"45865_Sunday League_25")</f>
        <v>45865_Sunday League_25</v>
      </c>
      <c r="I66" s="16" t="str">
        <f ca="1">IFERROR(__xludf.DUMMYFUNCTION("""COMPUTED_VALUE"""),"45865_Sunday League_25_4")</f>
        <v>45865_Sunday League_25_4</v>
      </c>
      <c r="J66" s="16">
        <f ca="1">IFERROR(__xludf.DUMMYFUNCTION("""COMPUTED_VALUE"""),7)</f>
        <v>7</v>
      </c>
      <c r="K66" s="16" t="str">
        <f ca="1">IFERROR(__xludf.DUMMYFUNCTION("""COMPUTED_VALUE"""),"Sunday League")</f>
        <v>Sunday League</v>
      </c>
      <c r="L66" s="22">
        <f ca="1">IFERROR(__xludf.DUMMYFUNCTION("""COMPUTED_VALUE"""),45865)</f>
        <v>45865</v>
      </c>
      <c r="M66" s="16">
        <f ca="1">IFERROR(__xludf.DUMMYFUNCTION("""COMPUTED_VALUE"""),25)</f>
        <v>25</v>
      </c>
      <c r="N66" s="16">
        <f ca="1">IFERROR(__xludf.DUMMYFUNCTION("""COMPUTED_VALUE"""),4)</f>
        <v>4</v>
      </c>
      <c r="O66" s="16" t="str">
        <f ca="1">IFERROR(__xludf.DUMMYFUNCTION("""COMPUTED_VALUE"""),"John-Paul Paduarno")</f>
        <v>John-Paul Paduarno</v>
      </c>
      <c r="P66" s="16" t="str">
        <f ca="1">IFERROR(__xludf.DUMMYFUNCTION("""COMPUTED_VALUE"""),"Vet")</f>
        <v>Vet</v>
      </c>
      <c r="Q66" s="23">
        <f ca="1">IFERROR(__xludf.DUMMYFUNCTION("""COMPUTED_VALUE"""),0.0444907407407407)</f>
        <v>4.4490740740740699E-2</v>
      </c>
      <c r="R66" s="16" t="str">
        <f ca="1">IFERROR(__xludf.DUMMYFUNCTION("""COMPUTED_VALUE"""),"Non-aero PB")</f>
        <v>Non-aero PB</v>
      </c>
      <c r="S66" s="16">
        <f ca="1">IFERROR(__xludf.DUMMYFUNCTION("""COMPUTED_VALUE"""),57)</f>
        <v>57</v>
      </c>
      <c r="T66" s="23">
        <f ca="1">IFERROR(__xludf.DUMMYFUNCTION("""COMPUTED_VALUE"""),0.030185)</f>
        <v>3.0185E-2</v>
      </c>
      <c r="U66" s="16">
        <f ca="1">IFERROR(__xludf.DUMMYFUNCTION("""COMPUTED_VALUE"""),4)</f>
        <v>4</v>
      </c>
      <c r="V66" s="16">
        <f ca="1">IFERROR(__xludf.DUMMYFUNCTION("""COMPUTED_VALUE"""),57)</f>
        <v>57</v>
      </c>
      <c r="W66" s="23">
        <f ca="1">IFERROR(__xludf.DUMMYFUNCTION("""COMPUTED_VALUE"""),0.0440393518518518)</f>
        <v>4.4039351851851802E-2</v>
      </c>
      <c r="X66" s="16">
        <f ca="1">IFERROR(__xludf.DUMMYFUNCTION("""COMPUTED_VALUE"""),6)</f>
        <v>6</v>
      </c>
      <c r="Y66" s="16">
        <f ca="1">IFERROR(__xludf.DUMMYFUNCTION("""COMPUTED_VALUE"""),55)</f>
        <v>55</v>
      </c>
      <c r="Z66" s="16">
        <f ca="1">IFERROR(__xludf.DUMMYFUNCTION("""COMPUTED_VALUE"""),0)</f>
        <v>0</v>
      </c>
      <c r="AA66" s="16">
        <f ca="1">IFERROR(__xludf.DUMMYFUNCTION("""COMPUTED_VALUE"""),0)</f>
        <v>0</v>
      </c>
      <c r="AB66" s="16">
        <f ca="1">IFERROR(__xludf.DUMMYFUNCTION("""COMPUTED_VALUE"""),0)</f>
        <v>0</v>
      </c>
      <c r="AC66" s="16">
        <f ca="1">IFERROR(__xludf.DUMMYFUNCTION("""COMPUTED_VALUE"""),0)</f>
        <v>0</v>
      </c>
      <c r="AD66" s="16">
        <f ca="1">IFERROR(__xludf.DUMMYFUNCTION("""COMPUTED_VALUE"""),0)</f>
        <v>0</v>
      </c>
      <c r="AE66" s="16">
        <f ca="1">IFERROR(__xludf.DUMMYFUNCTION("""COMPUTED_VALUE"""),0)</f>
        <v>0</v>
      </c>
      <c r="AF66" s="16">
        <f ca="1">IFERROR(__xludf.DUMMYFUNCTION("""COMPUTED_VALUE"""),1)</f>
        <v>1</v>
      </c>
      <c r="AG66" s="16">
        <f ca="1">IFERROR(__xludf.DUMMYFUNCTION("""COMPUTED_VALUE"""),60)</f>
        <v>60</v>
      </c>
      <c r="AH66" s="16">
        <f ca="1">IFERROR(__xludf.DUMMYFUNCTION("""COMPUTED_VALUE"""),0)</f>
        <v>0</v>
      </c>
      <c r="AI66" s="16">
        <f ca="1">IFERROR(__xludf.DUMMYFUNCTION("""COMPUTED_VALUE"""),1)</f>
        <v>1</v>
      </c>
      <c r="AJ66" s="16" t="str">
        <f ca="1">IFERROR(__xludf.DUMMYFUNCTION("""COMPUTED_VALUE"""),"")</f>
        <v/>
      </c>
      <c r="AK66" s="16" t="str">
        <f ca="1">IFERROR(__xludf.DUMMYFUNCTION("""COMPUTED_VALUE"""),"PB")</f>
        <v>PB</v>
      </c>
      <c r="AL66" s="16" t="str">
        <f ca="1">IFERROR(__xludf.DUMMYFUNCTION("""COMPUTED_VALUE"""),"")</f>
        <v/>
      </c>
      <c r="AM66" s="16" t="str">
        <f ca="1">IFERROR(__xludf.DUMMYFUNCTION("""COMPUTED_VALUE"""),"")</f>
        <v/>
      </c>
      <c r="AN66" s="24" t="str">
        <f ca="1">IFERROR(__xludf.DUMMYFUNCTION("""COMPUTED_VALUE"""),"")</f>
        <v/>
      </c>
    </row>
    <row r="67" spans="1:40" x14ac:dyDescent="0.2">
      <c r="A67" s="20">
        <f ca="1">IF($H67="","",IF(ISERROR(MATCH($O67,Lge_Scratch!$B:$B,0)),1,0))</f>
        <v>0</v>
      </c>
      <c r="B67" s="20">
        <f ca="1">IF($H67="","",IF(AND($AG67&gt;0,ISERROR(MATCH($O67,Lge_NonAero!$B:$B,0))),1,0))</f>
        <v>0</v>
      </c>
      <c r="C67" s="20">
        <f ca="1">IF($H67="","",IF(ISERROR(MATCH($O67,Lge_Handicap!$B:$B,0)),1,0))</f>
        <v>0</v>
      </c>
      <c r="D67" s="20">
        <f ca="1">IF($H67="","",IF(AND(LEFT($P67,3)="Wom",ISERROR(MATCH($O67,Lge_Womens!$B:$B,0))),1,0))</f>
        <v>0</v>
      </c>
      <c r="E67" s="20">
        <f ca="1">IF($H67="","",IF(AND(OR($P67="Vet",$P67="Woman Vet"),ISERROR(MATCH($O67,Lge_Veterans!$B:$B,0))),1,0))</f>
        <v>0</v>
      </c>
      <c r="F67" s="20">
        <f ca="1">IF($H67="","",IF(AND(OR($P67="Junior",$P67="Youth"),ISERROR(MATCH($O67,Lge_Junior!$B:$B,0))),1,0))</f>
        <v>0</v>
      </c>
      <c r="G67" s="20">
        <f ca="1">IF($H67="","",IF(AND($P67="Youth",ISERROR(MATCH($O67,Lge_Youth!$B:$B,0))),1,0))</f>
        <v>0</v>
      </c>
      <c r="H67" s="16" t="str">
        <f ca="1">IFERROR(__xludf.DUMMYFUNCTION("""COMPUTED_VALUE"""),"45865_Sunday League_25")</f>
        <v>45865_Sunday League_25</v>
      </c>
      <c r="I67" s="16" t="str">
        <f ca="1">IFERROR(__xludf.DUMMYFUNCTION("""COMPUTED_VALUE"""),"45865_Sunday League_25_5")</f>
        <v>45865_Sunday League_25_5</v>
      </c>
      <c r="J67" s="16">
        <f ca="1">IFERROR(__xludf.DUMMYFUNCTION("""COMPUTED_VALUE"""),7)</f>
        <v>7</v>
      </c>
      <c r="K67" s="16" t="str">
        <f ca="1">IFERROR(__xludf.DUMMYFUNCTION("""COMPUTED_VALUE"""),"Sunday League")</f>
        <v>Sunday League</v>
      </c>
      <c r="L67" s="22">
        <f ca="1">IFERROR(__xludf.DUMMYFUNCTION("""COMPUTED_VALUE"""),45865)</f>
        <v>45865</v>
      </c>
      <c r="M67" s="16">
        <f ca="1">IFERROR(__xludf.DUMMYFUNCTION("""COMPUTED_VALUE"""),25)</f>
        <v>25</v>
      </c>
      <c r="N67" s="16">
        <f ca="1">IFERROR(__xludf.DUMMYFUNCTION("""COMPUTED_VALUE"""),5)</f>
        <v>5</v>
      </c>
      <c r="O67" s="16" t="str">
        <f ca="1">IFERROR(__xludf.DUMMYFUNCTION("""COMPUTED_VALUE"""),"Andy Merchant")</f>
        <v>Andy Merchant</v>
      </c>
      <c r="P67" s="16" t="str">
        <f ca="1">IFERROR(__xludf.DUMMYFUNCTION("""COMPUTED_VALUE"""),"Vet")</f>
        <v>Vet</v>
      </c>
      <c r="Q67" s="23">
        <f ca="1">IFERROR(__xludf.DUMMYFUNCTION("""COMPUTED_VALUE"""),0.0460416666666666)</f>
        <v>4.6041666666666599E-2</v>
      </c>
      <c r="R67" s="16" t="str">
        <f ca="1">IFERROR(__xludf.DUMMYFUNCTION("""COMPUTED_VALUE"""),"CB")</f>
        <v>CB</v>
      </c>
      <c r="S67" s="16">
        <f ca="1">IFERROR(__xludf.DUMMYFUNCTION("""COMPUTED_VALUE"""),56)</f>
        <v>56</v>
      </c>
      <c r="T67" s="23">
        <f ca="1">IFERROR(__xludf.DUMMYFUNCTION("""COMPUTED_VALUE"""),0.030289)</f>
        <v>3.0289E-2</v>
      </c>
      <c r="U67" s="16">
        <f ca="1">IFERROR(__xludf.DUMMYFUNCTION("""COMPUTED_VALUE"""),5)</f>
        <v>5</v>
      </c>
      <c r="V67" s="16">
        <f ca="1">IFERROR(__xludf.DUMMYFUNCTION("""COMPUTED_VALUE"""),56)</f>
        <v>56</v>
      </c>
      <c r="W67" s="23">
        <f ca="1">IFERROR(__xludf.DUMMYFUNCTION("""COMPUTED_VALUE"""),0.0428356481481481)</f>
        <v>4.2835648148148102E-2</v>
      </c>
      <c r="X67" s="16">
        <f ca="1">IFERROR(__xludf.DUMMYFUNCTION("""COMPUTED_VALUE"""),5)</f>
        <v>5</v>
      </c>
      <c r="Y67" s="16">
        <f ca="1">IFERROR(__xludf.DUMMYFUNCTION("""COMPUTED_VALUE"""),56)</f>
        <v>56</v>
      </c>
      <c r="Z67" s="16">
        <f ca="1">IFERROR(__xludf.DUMMYFUNCTION("""COMPUTED_VALUE"""),0)</f>
        <v>0</v>
      </c>
      <c r="AA67" s="16">
        <f ca="1">IFERROR(__xludf.DUMMYFUNCTION("""COMPUTED_VALUE"""),0)</f>
        <v>0</v>
      </c>
      <c r="AB67" s="16">
        <f ca="1">IFERROR(__xludf.DUMMYFUNCTION("""COMPUTED_VALUE"""),0)</f>
        <v>0</v>
      </c>
      <c r="AC67" s="16">
        <f ca="1">IFERROR(__xludf.DUMMYFUNCTION("""COMPUTED_VALUE"""),0)</f>
        <v>0</v>
      </c>
      <c r="AD67" s="16">
        <f ca="1">IFERROR(__xludf.DUMMYFUNCTION("""COMPUTED_VALUE"""),0)</f>
        <v>0</v>
      </c>
      <c r="AE67" s="16">
        <f ca="1">IFERROR(__xludf.DUMMYFUNCTION("""COMPUTED_VALUE"""),0)</f>
        <v>0</v>
      </c>
      <c r="AF67" s="16" t="str">
        <f ca="1">IFERROR(__xludf.DUMMYFUNCTION("""COMPUTED_VALUE"""),"")</f>
        <v/>
      </c>
      <c r="AG67" s="16">
        <f ca="1">IFERROR(__xludf.DUMMYFUNCTION("""COMPUTED_VALUE"""),0)</f>
        <v>0</v>
      </c>
      <c r="AH67" s="16">
        <f ca="1">IFERROR(__xludf.DUMMYFUNCTION("""COMPUTED_VALUE"""),0)</f>
        <v>0</v>
      </c>
      <c r="AI67" s="16" t="str">
        <f ca="1">IFERROR(__xludf.DUMMYFUNCTION("""COMPUTED_VALUE"""),"")</f>
        <v/>
      </c>
      <c r="AJ67" s="16" t="str">
        <f ca="1">IFERROR(__xludf.DUMMYFUNCTION("""COMPUTED_VALUE"""),"")</f>
        <v/>
      </c>
      <c r="AK67" s="16" t="str">
        <f ca="1">IFERROR(__xludf.DUMMYFUNCTION("""COMPUTED_VALUE"""),"CB")</f>
        <v>CB</v>
      </c>
      <c r="AL67" s="16" t="str">
        <f ca="1">IFERROR(__xludf.DUMMYFUNCTION("""COMPUTED_VALUE"""),"")</f>
        <v/>
      </c>
      <c r="AM67" s="16" t="str">
        <f ca="1">IFERROR(__xludf.DUMMYFUNCTION("""COMPUTED_VALUE"""),"")</f>
        <v/>
      </c>
      <c r="AN67" s="24" t="str">
        <f ca="1">IFERROR(__xludf.DUMMYFUNCTION("""COMPUTED_VALUE"""),"")</f>
        <v/>
      </c>
    </row>
    <row r="68" spans="1:40" x14ac:dyDescent="0.2">
      <c r="A68" s="20">
        <f ca="1">IF($H68="","",IF(ISERROR(MATCH($O68,Lge_Scratch!$B:$B,0)),1,0))</f>
        <v>0</v>
      </c>
      <c r="B68" s="20">
        <f ca="1">IF($H68="","",IF(AND($AG68&gt;0,ISERROR(MATCH($O68,Lge_NonAero!$B:$B,0))),1,0))</f>
        <v>0</v>
      </c>
      <c r="C68" s="20">
        <f ca="1">IF($H68="","",IF(ISERROR(MATCH($O68,Lge_Handicap!$B:$B,0)),1,0))</f>
        <v>0</v>
      </c>
      <c r="D68" s="20">
        <f ca="1">IF($H68="","",IF(AND(LEFT($P68,3)="Wom",ISERROR(MATCH($O68,Lge_Womens!$B:$B,0))),1,0))</f>
        <v>0</v>
      </c>
      <c r="E68" s="20">
        <f ca="1">IF($H68="","",IF(AND(OR($P68="Vet",$P68="Woman Vet"),ISERROR(MATCH($O68,Lge_Veterans!$B:$B,0))),1,0))</f>
        <v>0</v>
      </c>
      <c r="F68" s="20">
        <f ca="1">IF($H68="","",IF(AND(OR($P68="Junior",$P68="Youth"),ISERROR(MATCH($O68,Lge_Junior!$B:$B,0))),1,0))</f>
        <v>0</v>
      </c>
      <c r="G68" s="20">
        <f ca="1">IF($H68="","",IF(AND($P68="Youth",ISERROR(MATCH($O68,Lge_Youth!$B:$B,0))),1,0))</f>
        <v>0</v>
      </c>
      <c r="H68" s="16" t="str">
        <f ca="1">IFERROR(__xludf.DUMMYFUNCTION("""COMPUTED_VALUE"""),"45865_Sunday League_25")</f>
        <v>45865_Sunday League_25</v>
      </c>
      <c r="I68" s="16" t="str">
        <f ca="1">IFERROR(__xludf.DUMMYFUNCTION("""COMPUTED_VALUE"""),"45865_Sunday League_25_6")</f>
        <v>45865_Sunday League_25_6</v>
      </c>
      <c r="J68" s="16">
        <f ca="1">IFERROR(__xludf.DUMMYFUNCTION("""COMPUTED_VALUE"""),7)</f>
        <v>7</v>
      </c>
      <c r="K68" s="16" t="str">
        <f ca="1">IFERROR(__xludf.DUMMYFUNCTION("""COMPUTED_VALUE"""),"Sunday League")</f>
        <v>Sunday League</v>
      </c>
      <c r="L68" s="22">
        <f ca="1">IFERROR(__xludf.DUMMYFUNCTION("""COMPUTED_VALUE"""),45865)</f>
        <v>45865</v>
      </c>
      <c r="M68" s="16">
        <f ca="1">IFERROR(__xludf.DUMMYFUNCTION("""COMPUTED_VALUE"""),25)</f>
        <v>25</v>
      </c>
      <c r="N68" s="16">
        <f ca="1">IFERROR(__xludf.DUMMYFUNCTION("""COMPUTED_VALUE"""),6)</f>
        <v>6</v>
      </c>
      <c r="O68" s="16" t="str">
        <f ca="1">IFERROR(__xludf.DUMMYFUNCTION("""COMPUTED_VALUE"""),"Paul White")</f>
        <v>Paul White</v>
      </c>
      <c r="P68" s="16" t="str">
        <f ca="1">IFERROR(__xludf.DUMMYFUNCTION("""COMPUTED_VALUE"""),"Vet")</f>
        <v>Vet</v>
      </c>
      <c r="Q68" s="23">
        <f ca="1">IFERROR(__xludf.DUMMYFUNCTION("""COMPUTED_VALUE"""),0.0469791666666666)</f>
        <v>4.69791666666666E-2</v>
      </c>
      <c r="R68" s="16" t="str">
        <f ca="1">IFERROR(__xludf.DUMMYFUNCTION("""COMPUTED_VALUE"""),"Non-aero First E9 25 mile TT PB")</f>
        <v>Non-aero First E9 25 mile TT PB</v>
      </c>
      <c r="S68" s="16">
        <f ca="1">IFERROR(__xludf.DUMMYFUNCTION("""COMPUTED_VALUE"""),55)</f>
        <v>55</v>
      </c>
      <c r="T68" s="23">
        <f ca="1">IFERROR(__xludf.DUMMYFUNCTION("""COMPUTED_VALUE"""),0.030347)</f>
        <v>3.0346999999999999E-2</v>
      </c>
      <c r="U68" s="16">
        <f ca="1">IFERROR(__xludf.DUMMYFUNCTION("""COMPUTED_VALUE"""),6)</f>
        <v>6</v>
      </c>
      <c r="V68" s="16">
        <f ca="1">IFERROR(__xludf.DUMMYFUNCTION("""COMPUTED_VALUE"""),55)</f>
        <v>55</v>
      </c>
      <c r="W68" s="23">
        <f ca="1">IFERROR(__xludf.DUMMYFUNCTION("""COMPUTED_VALUE"""),0.0402546296296296)</f>
        <v>4.0254629629629599E-2</v>
      </c>
      <c r="X68" s="16">
        <f ca="1">IFERROR(__xludf.DUMMYFUNCTION("""COMPUTED_VALUE"""),3)</f>
        <v>3</v>
      </c>
      <c r="Y68" s="16">
        <f ca="1">IFERROR(__xludf.DUMMYFUNCTION("""COMPUTED_VALUE"""),58)</f>
        <v>58</v>
      </c>
      <c r="Z68" s="16">
        <f ca="1">IFERROR(__xludf.DUMMYFUNCTION("""COMPUTED_VALUE"""),0)</f>
        <v>0</v>
      </c>
      <c r="AA68" s="16">
        <f ca="1">IFERROR(__xludf.DUMMYFUNCTION("""COMPUTED_VALUE"""),0)</f>
        <v>0</v>
      </c>
      <c r="AB68" s="16">
        <f ca="1">IFERROR(__xludf.DUMMYFUNCTION("""COMPUTED_VALUE"""),0)</f>
        <v>0</v>
      </c>
      <c r="AC68" s="16">
        <f ca="1">IFERROR(__xludf.DUMMYFUNCTION("""COMPUTED_VALUE"""),0)</f>
        <v>0</v>
      </c>
      <c r="AD68" s="16">
        <f ca="1">IFERROR(__xludf.DUMMYFUNCTION("""COMPUTED_VALUE"""),0)</f>
        <v>0</v>
      </c>
      <c r="AE68" s="16">
        <f ca="1">IFERROR(__xludf.DUMMYFUNCTION("""COMPUTED_VALUE"""),0)</f>
        <v>0</v>
      </c>
      <c r="AF68" s="16">
        <f ca="1">IFERROR(__xludf.DUMMYFUNCTION("""COMPUTED_VALUE"""),2)</f>
        <v>2</v>
      </c>
      <c r="AG68" s="16">
        <f ca="1">IFERROR(__xludf.DUMMYFUNCTION("""COMPUTED_VALUE"""),59)</f>
        <v>59</v>
      </c>
      <c r="AH68" s="16">
        <f ca="1">IFERROR(__xludf.DUMMYFUNCTION("""COMPUTED_VALUE"""),0)</f>
        <v>0</v>
      </c>
      <c r="AI68" s="16">
        <f ca="1">IFERROR(__xludf.DUMMYFUNCTION("""COMPUTED_VALUE"""),2)</f>
        <v>2</v>
      </c>
      <c r="AJ68" s="16" t="str">
        <f ca="1">IFERROR(__xludf.DUMMYFUNCTION("""COMPUTED_VALUE"""),"First E9 25 mile TT")</f>
        <v>First E9 25 mile TT</v>
      </c>
      <c r="AK68" s="16" t="str">
        <f ca="1">IFERROR(__xludf.DUMMYFUNCTION("""COMPUTED_VALUE"""),"PB")</f>
        <v>PB</v>
      </c>
      <c r="AL68" s="16" t="str">
        <f ca="1">IFERROR(__xludf.DUMMYFUNCTION("""COMPUTED_VALUE"""),"")</f>
        <v/>
      </c>
      <c r="AM68" s="16" t="str">
        <f ca="1">IFERROR(__xludf.DUMMYFUNCTION("""COMPUTED_VALUE"""),"")</f>
        <v/>
      </c>
      <c r="AN68" s="24" t="str">
        <f ca="1">IFERROR(__xludf.DUMMYFUNCTION("""COMPUTED_VALUE"""),"")</f>
        <v/>
      </c>
    </row>
    <row r="69" spans="1:40" x14ac:dyDescent="0.2">
      <c r="A69" s="20">
        <f ca="1">IF($H69="","",IF(ISERROR(MATCH($O69,Lge_Scratch!$B:$B,0)),1,0))</f>
        <v>0</v>
      </c>
      <c r="B69" s="20">
        <f ca="1">IF($H69="","",IF(AND($AG69&gt;0,ISERROR(MATCH($O69,Lge_NonAero!$B:$B,0))),1,0))</f>
        <v>0</v>
      </c>
      <c r="C69" s="20">
        <f ca="1">IF($H69="","",IF(ISERROR(MATCH($O69,Lge_Handicap!$B:$B,0)),1,0))</f>
        <v>0</v>
      </c>
      <c r="D69" s="20">
        <f ca="1">IF($H69="","",IF(AND(LEFT($P69,3)="Wom",ISERROR(MATCH($O69,Lge_Womens!$B:$B,0))),1,0))</f>
        <v>0</v>
      </c>
      <c r="E69" s="20">
        <f ca="1">IF($H69="","",IF(AND(OR($P69="Vet",$P69="Woman Vet"),ISERROR(MATCH($O69,Lge_Veterans!$B:$B,0))),1,0))</f>
        <v>0</v>
      </c>
      <c r="F69" s="20">
        <f ca="1">IF($H69="","",IF(AND(OR($P69="Junior",$P69="Youth"),ISERROR(MATCH($O69,Lge_Junior!$B:$B,0))),1,0))</f>
        <v>0</v>
      </c>
      <c r="G69" s="20">
        <f ca="1">IF($H69="","",IF(AND($P69="Youth",ISERROR(MATCH($O69,Lge_Youth!$B:$B,0))),1,0))</f>
        <v>0</v>
      </c>
      <c r="H69" s="16" t="str">
        <f ca="1">IFERROR(__xludf.DUMMYFUNCTION("""COMPUTED_VALUE"""),"45865_Sunday League_25")</f>
        <v>45865_Sunday League_25</v>
      </c>
      <c r="I69" s="16" t="str">
        <f ca="1">IFERROR(__xludf.DUMMYFUNCTION("""COMPUTED_VALUE"""),"45865_Sunday League_25_7")</f>
        <v>45865_Sunday League_25_7</v>
      </c>
      <c r="J69" s="16">
        <f ca="1">IFERROR(__xludf.DUMMYFUNCTION("""COMPUTED_VALUE"""),7)</f>
        <v>7</v>
      </c>
      <c r="K69" s="16" t="str">
        <f ca="1">IFERROR(__xludf.DUMMYFUNCTION("""COMPUTED_VALUE"""),"Sunday League")</f>
        <v>Sunday League</v>
      </c>
      <c r="L69" s="22">
        <f ca="1">IFERROR(__xludf.DUMMYFUNCTION("""COMPUTED_VALUE"""),45865)</f>
        <v>45865</v>
      </c>
      <c r="M69" s="16">
        <f ca="1">IFERROR(__xludf.DUMMYFUNCTION("""COMPUTED_VALUE"""),25)</f>
        <v>25</v>
      </c>
      <c r="N69" s="16">
        <f ca="1">IFERROR(__xludf.DUMMYFUNCTION("""COMPUTED_VALUE"""),7)</f>
        <v>7</v>
      </c>
      <c r="O69" s="16" t="str">
        <f ca="1">IFERROR(__xludf.DUMMYFUNCTION("""COMPUTED_VALUE"""),"Stuart Jago")</f>
        <v>Stuart Jago</v>
      </c>
      <c r="P69" s="16" t="str">
        <f ca="1">IFERROR(__xludf.DUMMYFUNCTION("""COMPUTED_VALUE"""),"Vet")</f>
        <v>Vet</v>
      </c>
      <c r="Q69" s="23">
        <f ca="1">IFERROR(__xludf.DUMMYFUNCTION("""COMPUTED_VALUE"""),0.0526736111111111)</f>
        <v>5.2673611111111102E-2</v>
      </c>
      <c r="R69" s="16" t="str">
        <f ca="1">IFERROR(__xludf.DUMMYFUNCTION("""COMPUTED_VALUE"""),"First E9 25 mile TT PB")</f>
        <v>First E9 25 mile TT PB</v>
      </c>
      <c r="S69" s="16">
        <f ca="1">IFERROR(__xludf.DUMMYFUNCTION("""COMPUTED_VALUE"""),54)</f>
        <v>54</v>
      </c>
      <c r="T69" s="23">
        <f ca="1">IFERROR(__xludf.DUMMYFUNCTION("""COMPUTED_VALUE"""),0.030729)</f>
        <v>3.0728999999999999E-2</v>
      </c>
      <c r="U69" s="16">
        <f ca="1">IFERROR(__xludf.DUMMYFUNCTION("""COMPUTED_VALUE"""),7)</f>
        <v>7</v>
      </c>
      <c r="V69" s="16">
        <f ca="1">IFERROR(__xludf.DUMMYFUNCTION("""COMPUTED_VALUE"""),54)</f>
        <v>54</v>
      </c>
      <c r="W69" s="23">
        <f ca="1">IFERROR(__xludf.DUMMYFUNCTION("""COMPUTED_VALUE"""),0.0451273148148148)</f>
        <v>4.5127314814814801E-2</v>
      </c>
      <c r="X69" s="16">
        <f ca="1">IFERROR(__xludf.DUMMYFUNCTION("""COMPUTED_VALUE"""),7)</f>
        <v>7</v>
      </c>
      <c r="Y69" s="16">
        <f ca="1">IFERROR(__xludf.DUMMYFUNCTION("""COMPUTED_VALUE"""),54)</f>
        <v>54</v>
      </c>
      <c r="Z69" s="16">
        <f ca="1">IFERROR(__xludf.DUMMYFUNCTION("""COMPUTED_VALUE"""),0)</f>
        <v>0</v>
      </c>
      <c r="AA69" s="16">
        <f ca="1">IFERROR(__xludf.DUMMYFUNCTION("""COMPUTED_VALUE"""),0)</f>
        <v>0</v>
      </c>
      <c r="AB69" s="16">
        <f ca="1">IFERROR(__xludf.DUMMYFUNCTION("""COMPUTED_VALUE"""),0)</f>
        <v>0</v>
      </c>
      <c r="AC69" s="16">
        <f ca="1">IFERROR(__xludf.DUMMYFUNCTION("""COMPUTED_VALUE"""),0)</f>
        <v>0</v>
      </c>
      <c r="AD69" s="16">
        <f ca="1">IFERROR(__xludf.DUMMYFUNCTION("""COMPUTED_VALUE"""),0)</f>
        <v>0</v>
      </c>
      <c r="AE69" s="16">
        <f ca="1">IFERROR(__xludf.DUMMYFUNCTION("""COMPUTED_VALUE"""),0)</f>
        <v>0</v>
      </c>
      <c r="AF69" s="16" t="str">
        <f ca="1">IFERROR(__xludf.DUMMYFUNCTION("""COMPUTED_VALUE"""),"")</f>
        <v/>
      </c>
      <c r="AG69" s="16">
        <f ca="1">IFERROR(__xludf.DUMMYFUNCTION("""COMPUTED_VALUE"""),0)</f>
        <v>0</v>
      </c>
      <c r="AH69" s="16">
        <f ca="1">IFERROR(__xludf.DUMMYFUNCTION("""COMPUTED_VALUE"""),0)</f>
        <v>0</v>
      </c>
      <c r="AI69" s="16" t="str">
        <f ca="1">IFERROR(__xludf.DUMMYFUNCTION("""COMPUTED_VALUE"""),"")</f>
        <v/>
      </c>
      <c r="AJ69" s="16" t="str">
        <f ca="1">IFERROR(__xludf.DUMMYFUNCTION("""COMPUTED_VALUE"""),"First E9 25 mile TT")</f>
        <v>First E9 25 mile TT</v>
      </c>
      <c r="AK69" s="16" t="str">
        <f ca="1">IFERROR(__xludf.DUMMYFUNCTION("""COMPUTED_VALUE"""),"PB")</f>
        <v>PB</v>
      </c>
      <c r="AL69" s="16" t="str">
        <f ca="1">IFERROR(__xludf.DUMMYFUNCTION("""COMPUTED_VALUE"""),"")</f>
        <v/>
      </c>
      <c r="AM69" s="16" t="str">
        <f ca="1">IFERROR(__xludf.DUMMYFUNCTION("""COMPUTED_VALUE"""),"")</f>
        <v/>
      </c>
      <c r="AN69" s="24" t="str">
        <f ca="1">IFERROR(__xludf.DUMMYFUNCTION("""COMPUTED_VALUE"""),"")</f>
        <v/>
      </c>
    </row>
    <row r="70" spans="1:40" x14ac:dyDescent="0.2">
      <c r="A70" s="20" t="str">
        <f>IF($H70="","",IF(ISERROR(MATCH($O70,Lge_Scratch!$B:$B,0)),1,0))</f>
        <v/>
      </c>
      <c r="B70" s="20" t="str">
        <f>IF($H70="","",IF(AND($AG70&gt;0,ISERROR(MATCH($O70,Lge_NonAero!$B:$B,0))),1,0))</f>
        <v/>
      </c>
      <c r="C70" s="20" t="str">
        <f>IF($H70="","",IF(ISERROR(MATCH($O70,Lge_Handicap!$B:$B,0)),1,0))</f>
        <v/>
      </c>
      <c r="D70" s="20" t="str">
        <f>IF($H70="","",IF(AND(LEFT($P70,3)="Wom",ISERROR(MATCH($O70,Lge_Womens!$B:$B,0))),1,0))</f>
        <v/>
      </c>
      <c r="E70" s="20" t="str">
        <f>IF($H70="","",IF(AND(OR($P70="Vet",$P70="Woman Vet"),ISERROR(MATCH($O70,Lge_Veterans!$B:$B,0))),1,0))</f>
        <v/>
      </c>
      <c r="F70" s="20" t="str">
        <f>IF($H70="","",IF(AND(OR($P70="Junior",$P70="Youth"),ISERROR(MATCH($O70,Lge_Junior!$B:$B,0))),1,0))</f>
        <v/>
      </c>
      <c r="G70" s="20" t="str">
        <f>IF($H70="","",IF(AND($P70="Youth",ISERROR(MATCH($O70,Lge_Youth!$B:$B,0))),1,0))</f>
        <v/>
      </c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</row>
    <row r="71" spans="1:40" x14ac:dyDescent="0.2">
      <c r="A71" s="20" t="str">
        <f>IF($H71="","",IF(ISERROR(MATCH($O71,Lge_Scratch!$B:$B,0)),1,0))</f>
        <v/>
      </c>
      <c r="B71" s="20" t="str">
        <f>IF($H71="","",IF(AND($AG71&gt;0,ISERROR(MATCH($O71,Lge_NonAero!$B:$B,0))),1,0))</f>
        <v/>
      </c>
      <c r="C71" s="20" t="str">
        <f>IF($H71="","",IF(ISERROR(MATCH($O71,Lge_Handicap!$B:$B,0)),1,0))</f>
        <v/>
      </c>
      <c r="D71" s="20" t="str">
        <f>IF($H71="","",IF(AND(LEFT($P71,3)="Wom",ISERROR(MATCH($O71,Lge_Womens!$B:$B,0))),1,0))</f>
        <v/>
      </c>
      <c r="E71" s="20" t="str">
        <f>IF($H71="","",IF(AND(OR($P71="Vet",$P71="Woman Vet"),ISERROR(MATCH($O71,Lge_Veterans!$B:$B,0))),1,0))</f>
        <v/>
      </c>
      <c r="F71" s="20" t="str">
        <f>IF($H71="","",IF(AND(OR($P71="Junior",$P71="Youth"),ISERROR(MATCH($O71,Lge_Junior!$B:$B,0))),1,0))</f>
        <v/>
      </c>
      <c r="G71" s="20" t="str">
        <f>IF($H71="","",IF(AND($P71="Youth",ISERROR(MATCH($O71,Lge_Youth!$B:$B,0))),1,0))</f>
        <v/>
      </c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</row>
    <row r="72" spans="1:40" x14ac:dyDescent="0.2">
      <c r="A72" s="20" t="str">
        <f>IF($H72="","",IF(ISERROR(MATCH($O72,Lge_Scratch!$B:$B,0)),1,0))</f>
        <v/>
      </c>
      <c r="B72" s="20" t="str">
        <f>IF($H72="","",IF(AND($AG72&gt;0,ISERROR(MATCH($O72,Lge_NonAero!$B:$B,0))),1,0))</f>
        <v/>
      </c>
      <c r="C72" s="20" t="str">
        <f>IF($H72="","",IF(ISERROR(MATCH($O72,Lge_Handicap!$B:$B,0)),1,0))</f>
        <v/>
      </c>
      <c r="D72" s="20" t="str">
        <f>IF($H72="","",IF(AND(LEFT($P72,3)="Wom",ISERROR(MATCH($O72,Lge_Womens!$B:$B,0))),1,0))</f>
        <v/>
      </c>
      <c r="E72" s="20" t="str">
        <f>IF($H72="","",IF(AND(OR($P72="Vet",$P72="Woman Vet"),ISERROR(MATCH($O72,Lge_Veterans!$B:$B,0))),1,0))</f>
        <v/>
      </c>
      <c r="F72" s="20" t="str">
        <f>IF($H72="","",IF(AND(OR($P72="Junior",$P72="Youth"),ISERROR(MATCH($O72,Lge_Junior!$B:$B,0))),1,0))</f>
        <v/>
      </c>
      <c r="G72" s="20" t="str">
        <f>IF($H72="","",IF(AND($P72="Youth",ISERROR(MATCH($O72,Lge_Youth!$B:$B,0))),1,0))</f>
        <v/>
      </c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</row>
    <row r="73" spans="1:40" x14ac:dyDescent="0.2">
      <c r="A73" s="20" t="str">
        <f>IF($H73="","",IF(ISERROR(MATCH($O73,Lge_Scratch!$B:$B,0)),1,0))</f>
        <v/>
      </c>
      <c r="B73" s="20" t="str">
        <f>IF($H73="","",IF(AND($AG73&gt;0,ISERROR(MATCH($O73,Lge_NonAero!$B:$B,0))),1,0))</f>
        <v/>
      </c>
      <c r="C73" s="20" t="str">
        <f>IF($H73="","",IF(ISERROR(MATCH($O73,Lge_Handicap!$B:$B,0)),1,0))</f>
        <v/>
      </c>
      <c r="D73" s="20" t="str">
        <f>IF($H73="","",IF(AND(LEFT($P73,3)="Wom",ISERROR(MATCH($O73,Lge_Womens!$B:$B,0))),1,0))</f>
        <v/>
      </c>
      <c r="E73" s="20" t="str">
        <f>IF($H73="","",IF(AND(OR($P73="Vet",$P73="Woman Vet"),ISERROR(MATCH($O73,Lge_Veterans!$B:$B,0))),1,0))</f>
        <v/>
      </c>
      <c r="F73" s="20" t="str">
        <f>IF($H73="","",IF(AND(OR($P73="Junior",$P73="Youth"),ISERROR(MATCH($O73,Lge_Junior!$B:$B,0))),1,0))</f>
        <v/>
      </c>
      <c r="G73" s="20" t="str">
        <f>IF($H73="","",IF(AND($P73="Youth",ISERROR(MATCH($O73,Lge_Youth!$B:$B,0))),1,0))</f>
        <v/>
      </c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</row>
    <row r="74" spans="1:40" x14ac:dyDescent="0.2">
      <c r="A74" s="20" t="str">
        <f>IF($H74="","",IF(ISERROR(MATCH($O74,Lge_Scratch!$B:$B,0)),1,0))</f>
        <v/>
      </c>
      <c r="B74" s="20" t="str">
        <f>IF($H74="","",IF(AND($AG74&gt;0,ISERROR(MATCH($O74,Lge_NonAero!$B:$B,0))),1,0))</f>
        <v/>
      </c>
      <c r="C74" s="20" t="str">
        <f>IF($H74="","",IF(ISERROR(MATCH($O74,Lge_Handicap!$B:$B,0)),1,0))</f>
        <v/>
      </c>
      <c r="D74" s="20" t="str">
        <f>IF($H74="","",IF(AND(LEFT($P74,3)="Wom",ISERROR(MATCH($O74,Lge_Womens!$B:$B,0))),1,0))</f>
        <v/>
      </c>
      <c r="E74" s="20" t="str">
        <f>IF($H74="","",IF(AND(OR($P74="Vet",$P74="Woman Vet"),ISERROR(MATCH($O74,Lge_Veterans!$B:$B,0))),1,0))</f>
        <v/>
      </c>
      <c r="F74" s="20" t="str">
        <f>IF($H74="","",IF(AND(OR($P74="Junior",$P74="Youth"),ISERROR(MATCH($O74,Lge_Junior!$B:$B,0))),1,0))</f>
        <v/>
      </c>
      <c r="G74" s="20" t="str">
        <f>IF($H74="","",IF(AND($P74="Youth",ISERROR(MATCH($O74,Lge_Youth!$B:$B,0))),1,0))</f>
        <v/>
      </c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</row>
    <row r="75" spans="1:40" x14ac:dyDescent="0.2">
      <c r="A75" s="20" t="str">
        <f>IF($H75="","",IF(ISERROR(MATCH($O75,Lge_Scratch!$B:$B,0)),1,0))</f>
        <v/>
      </c>
      <c r="B75" s="20" t="str">
        <f>IF($H75="","",IF(AND($AG75&gt;0,ISERROR(MATCH($O75,Lge_NonAero!$B:$B,0))),1,0))</f>
        <v/>
      </c>
      <c r="C75" s="20" t="str">
        <f>IF($H75="","",IF(ISERROR(MATCH($O75,Lge_Handicap!$B:$B,0)),1,0))</f>
        <v/>
      </c>
      <c r="D75" s="20" t="str">
        <f>IF($H75="","",IF(AND(LEFT($P75,3)="Wom",ISERROR(MATCH($O75,Lge_Womens!$B:$B,0))),1,0))</f>
        <v/>
      </c>
      <c r="E75" s="20" t="str">
        <f>IF($H75="","",IF(AND(OR($P75="Vet",$P75="Woman Vet"),ISERROR(MATCH($O75,Lge_Veterans!$B:$B,0))),1,0))</f>
        <v/>
      </c>
      <c r="F75" s="20" t="str">
        <f>IF($H75="","",IF(AND(OR($P75="Junior",$P75="Youth"),ISERROR(MATCH($O75,Lge_Junior!$B:$B,0))),1,0))</f>
        <v/>
      </c>
      <c r="G75" s="20" t="str">
        <f>IF($H75="","",IF(AND($P75="Youth",ISERROR(MATCH($O75,Lge_Youth!$B:$B,0))),1,0))</f>
        <v/>
      </c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</row>
    <row r="76" spans="1:40" x14ac:dyDescent="0.2">
      <c r="A76" s="20" t="str">
        <f>IF($H76="","",IF(ISERROR(MATCH($O76,Lge_Scratch!$B:$B,0)),1,0))</f>
        <v/>
      </c>
      <c r="B76" s="20" t="str">
        <f>IF($H76="","",IF(AND($AG76&gt;0,ISERROR(MATCH($O76,Lge_NonAero!$B:$B,0))),1,0))</f>
        <v/>
      </c>
      <c r="C76" s="20" t="str">
        <f>IF($H76="","",IF(ISERROR(MATCH($O76,Lge_Handicap!$B:$B,0)),1,0))</f>
        <v/>
      </c>
      <c r="D76" s="20" t="str">
        <f>IF($H76="","",IF(AND(LEFT($P76,3)="Wom",ISERROR(MATCH($O76,Lge_Womens!$B:$B,0))),1,0))</f>
        <v/>
      </c>
      <c r="E76" s="20" t="str">
        <f>IF($H76="","",IF(AND(OR($P76="Vet",$P76="Woman Vet"),ISERROR(MATCH($O76,Lge_Veterans!$B:$B,0))),1,0))</f>
        <v/>
      </c>
      <c r="F76" s="20" t="str">
        <f>IF($H76="","",IF(AND(OR($P76="Junior",$P76="Youth"),ISERROR(MATCH($O76,Lge_Junior!$B:$B,0))),1,0))</f>
        <v/>
      </c>
      <c r="G76" s="20" t="str">
        <f>IF($H76="","",IF(AND($P76="Youth",ISERROR(MATCH($O76,Lge_Youth!$B:$B,0))),1,0))</f>
        <v/>
      </c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</row>
    <row r="77" spans="1:40" x14ac:dyDescent="0.2">
      <c r="A77" s="20" t="str">
        <f>IF($H77="","",IF(ISERROR(MATCH($O77,Lge_Scratch!$B:$B,0)),1,0))</f>
        <v/>
      </c>
      <c r="B77" s="20" t="str">
        <f>IF($H77="","",IF(AND($AG77&gt;0,ISERROR(MATCH($O77,Lge_NonAero!$B:$B,0))),1,0))</f>
        <v/>
      </c>
      <c r="C77" s="20" t="str">
        <f>IF($H77="","",IF(ISERROR(MATCH($O77,Lge_Handicap!$B:$B,0)),1,0))</f>
        <v/>
      </c>
      <c r="D77" s="20" t="str">
        <f>IF($H77="","",IF(AND(LEFT($P77,3)="Wom",ISERROR(MATCH($O77,Lge_Womens!$B:$B,0))),1,0))</f>
        <v/>
      </c>
      <c r="E77" s="20" t="str">
        <f>IF($H77="","",IF(AND(OR($P77="Vet",$P77="Woman Vet"),ISERROR(MATCH($O77,Lge_Veterans!$B:$B,0))),1,0))</f>
        <v/>
      </c>
      <c r="F77" s="20" t="str">
        <f>IF($H77="","",IF(AND(OR($P77="Junior",$P77="Youth"),ISERROR(MATCH($O77,Lge_Junior!$B:$B,0))),1,0))</f>
        <v/>
      </c>
      <c r="G77" s="20" t="str">
        <f>IF($H77="","",IF(AND($P77="Youth",ISERROR(MATCH($O77,Lge_Youth!$B:$B,0))),1,0))</f>
        <v/>
      </c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</row>
    <row r="78" spans="1:40" x14ac:dyDescent="0.2">
      <c r="A78" s="20" t="str">
        <f>IF($H78="","",IF(ISERROR(MATCH($O78,Lge_Scratch!$B:$B,0)),1,0))</f>
        <v/>
      </c>
      <c r="B78" s="20" t="str">
        <f>IF($H78="","",IF(AND($AG78&gt;0,ISERROR(MATCH($O78,Lge_NonAero!$B:$B,0))),1,0))</f>
        <v/>
      </c>
      <c r="C78" s="20" t="str">
        <f>IF($H78="","",IF(ISERROR(MATCH($O78,Lge_Handicap!$B:$B,0)),1,0))</f>
        <v/>
      </c>
      <c r="D78" s="20" t="str">
        <f>IF($H78="","",IF(AND(LEFT($P78,3)="Wom",ISERROR(MATCH($O78,Lge_Womens!$B:$B,0))),1,0))</f>
        <v/>
      </c>
      <c r="E78" s="20" t="str">
        <f>IF($H78="","",IF(AND(OR($P78="Vet",$P78="Woman Vet"),ISERROR(MATCH($O78,Lge_Veterans!$B:$B,0))),1,0))</f>
        <v/>
      </c>
      <c r="F78" s="20" t="str">
        <f>IF($H78="","",IF(AND(OR($P78="Junior",$P78="Youth"),ISERROR(MATCH($O78,Lge_Junior!$B:$B,0))),1,0))</f>
        <v/>
      </c>
      <c r="G78" s="20" t="str">
        <f>IF($H78="","",IF(AND($P78="Youth",ISERROR(MATCH($O78,Lge_Youth!$B:$B,0))),1,0))</f>
        <v/>
      </c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</row>
    <row r="79" spans="1:40" x14ac:dyDescent="0.2">
      <c r="A79" s="20" t="str">
        <f>IF($H79="","",IF(ISERROR(MATCH($O79,Lge_Scratch!$B:$B,0)),1,0))</f>
        <v/>
      </c>
      <c r="B79" s="20" t="str">
        <f>IF($H79="","",IF(AND($AG79&gt;0,ISERROR(MATCH($O79,Lge_NonAero!$B:$B,0))),1,0))</f>
        <v/>
      </c>
      <c r="C79" s="20" t="str">
        <f>IF($H79="","",IF(ISERROR(MATCH($O79,Lge_Handicap!$B:$B,0)),1,0))</f>
        <v/>
      </c>
      <c r="D79" s="20" t="str">
        <f>IF($H79="","",IF(AND(LEFT($P79,3)="Wom",ISERROR(MATCH($O79,Lge_Womens!$B:$B,0))),1,0))</f>
        <v/>
      </c>
      <c r="E79" s="20" t="str">
        <f>IF($H79="","",IF(AND(OR($P79="Vet",$P79="Woman Vet"),ISERROR(MATCH($O79,Lge_Veterans!$B:$B,0))),1,0))</f>
        <v/>
      </c>
      <c r="F79" s="20" t="str">
        <f>IF($H79="","",IF(AND(OR($P79="Junior",$P79="Youth"),ISERROR(MATCH($O79,Lge_Junior!$B:$B,0))),1,0))</f>
        <v/>
      </c>
      <c r="G79" s="20" t="str">
        <f>IF($H79="","",IF(AND($P79="Youth",ISERROR(MATCH($O79,Lge_Youth!$B:$B,0))),1,0))</f>
        <v/>
      </c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</row>
    <row r="80" spans="1:40" x14ac:dyDescent="0.2">
      <c r="A80" s="20" t="str">
        <f>IF($H80="","",IF(ISERROR(MATCH($O80,Lge_Scratch!$B:$B,0)),1,0))</f>
        <v/>
      </c>
      <c r="B80" s="20" t="str">
        <f>IF($H80="","",IF(AND($AG80&gt;0,ISERROR(MATCH($O80,Lge_NonAero!$B:$B,0))),1,0))</f>
        <v/>
      </c>
      <c r="C80" s="20" t="str">
        <f>IF($H80="","",IF(ISERROR(MATCH($O80,Lge_Handicap!$B:$B,0)),1,0))</f>
        <v/>
      </c>
      <c r="D80" s="20" t="str">
        <f>IF($H80="","",IF(AND(LEFT($P80,3)="Wom",ISERROR(MATCH($O80,Lge_Womens!$B:$B,0))),1,0))</f>
        <v/>
      </c>
      <c r="E80" s="20" t="str">
        <f>IF($H80="","",IF(AND(OR($P80="Vet",$P80="Woman Vet"),ISERROR(MATCH($O80,Lge_Veterans!$B:$B,0))),1,0))</f>
        <v/>
      </c>
      <c r="F80" s="20" t="str">
        <f>IF($H80="","",IF(AND(OR($P80="Junior",$P80="Youth"),ISERROR(MATCH($O80,Lge_Junior!$B:$B,0))),1,0))</f>
        <v/>
      </c>
      <c r="G80" s="20" t="str">
        <f>IF($H80="","",IF(AND($P80="Youth",ISERROR(MATCH($O80,Lge_Youth!$B:$B,0))),1,0))</f>
        <v/>
      </c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</row>
    <row r="81" spans="1:40" x14ac:dyDescent="0.2">
      <c r="A81" s="20" t="str">
        <f>IF($H81="","",IF(ISERROR(MATCH($O81,Lge_Scratch!$B:$B,0)),1,0))</f>
        <v/>
      </c>
      <c r="B81" s="20" t="str">
        <f>IF($H81="","",IF(AND($AG81&gt;0,ISERROR(MATCH($O81,Lge_NonAero!$B:$B,0))),1,0))</f>
        <v/>
      </c>
      <c r="C81" s="20" t="str">
        <f>IF($H81="","",IF(ISERROR(MATCH($O81,Lge_Handicap!$B:$B,0)),1,0))</f>
        <v/>
      </c>
      <c r="D81" s="20" t="str">
        <f>IF($H81="","",IF(AND(LEFT($P81,3)="Wom",ISERROR(MATCH($O81,Lge_Womens!$B:$B,0))),1,0))</f>
        <v/>
      </c>
      <c r="E81" s="20" t="str">
        <f>IF($H81="","",IF(AND(OR($P81="Vet",$P81="Woman Vet"),ISERROR(MATCH($O81,Lge_Veterans!$B:$B,0))),1,0))</f>
        <v/>
      </c>
      <c r="F81" s="20" t="str">
        <f>IF($H81="","",IF(AND(OR($P81="Junior",$P81="Youth"),ISERROR(MATCH($O81,Lge_Junior!$B:$B,0))),1,0))</f>
        <v/>
      </c>
      <c r="G81" s="20" t="str">
        <f>IF($H81="","",IF(AND($P81="Youth",ISERROR(MATCH($O81,Lge_Youth!$B:$B,0))),1,0))</f>
        <v/>
      </c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</row>
    <row r="82" spans="1:40" x14ac:dyDescent="0.2">
      <c r="A82" s="20" t="str">
        <f>IF($H82="","",IF(ISERROR(MATCH($O82,Lge_Scratch!$B:$B,0)),1,0))</f>
        <v/>
      </c>
      <c r="B82" s="20" t="str">
        <f>IF($H82="","",IF(AND($AG82&gt;0,ISERROR(MATCH($O82,Lge_NonAero!$B:$B,0))),1,0))</f>
        <v/>
      </c>
      <c r="C82" s="20" t="str">
        <f>IF($H82="","",IF(ISERROR(MATCH($O82,Lge_Handicap!$B:$B,0)),1,0))</f>
        <v/>
      </c>
      <c r="D82" s="20" t="str">
        <f>IF($H82="","",IF(AND(LEFT($P82,3)="Wom",ISERROR(MATCH($O82,Lge_Womens!$B:$B,0))),1,0))</f>
        <v/>
      </c>
      <c r="E82" s="20" t="str">
        <f>IF($H82="","",IF(AND(OR($P82="Vet",$P82="Woman Vet"),ISERROR(MATCH($O82,Lge_Veterans!$B:$B,0))),1,0))</f>
        <v/>
      </c>
      <c r="F82" s="20" t="str">
        <f>IF($H82="","",IF(AND(OR($P82="Junior",$P82="Youth"),ISERROR(MATCH($O82,Lge_Junior!$B:$B,0))),1,0))</f>
        <v/>
      </c>
      <c r="G82" s="20" t="str">
        <f>IF($H82="","",IF(AND($P82="Youth",ISERROR(MATCH($O82,Lge_Youth!$B:$B,0))),1,0))</f>
        <v/>
      </c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</row>
    <row r="83" spans="1:40" x14ac:dyDescent="0.2">
      <c r="A83" s="20" t="str">
        <f>IF($H83="","",IF(ISERROR(MATCH($O83,Lge_Scratch!$B:$B,0)),1,0))</f>
        <v/>
      </c>
      <c r="B83" s="20" t="str">
        <f>IF($H83="","",IF(AND($AG83&gt;0,ISERROR(MATCH($O83,Lge_NonAero!$B:$B,0))),1,0))</f>
        <v/>
      </c>
      <c r="C83" s="20" t="str">
        <f>IF($H83="","",IF(ISERROR(MATCH($O83,Lge_Handicap!$B:$B,0)),1,0))</f>
        <v/>
      </c>
      <c r="D83" s="20" t="str">
        <f>IF($H83="","",IF(AND(LEFT($P83,3)="Wom",ISERROR(MATCH($O83,Lge_Womens!$B:$B,0))),1,0))</f>
        <v/>
      </c>
      <c r="E83" s="20" t="str">
        <f>IF($H83="","",IF(AND(OR($P83="Vet",$P83="Woman Vet"),ISERROR(MATCH($O83,Lge_Veterans!$B:$B,0))),1,0))</f>
        <v/>
      </c>
      <c r="F83" s="20" t="str">
        <f>IF($H83="","",IF(AND(OR($P83="Junior",$P83="Youth"),ISERROR(MATCH($O83,Lge_Junior!$B:$B,0))),1,0))</f>
        <v/>
      </c>
      <c r="G83" s="20" t="str">
        <f>IF($H83="","",IF(AND($P83="Youth",ISERROR(MATCH($O83,Lge_Youth!$B:$B,0))),1,0))</f>
        <v/>
      </c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</row>
    <row r="84" spans="1:40" x14ac:dyDescent="0.2">
      <c r="A84" s="20" t="str">
        <f>IF($H84="","",IF(ISERROR(MATCH($O84,Lge_Scratch!$B:$B,0)),1,0))</f>
        <v/>
      </c>
      <c r="B84" s="20" t="str">
        <f>IF($H84="","",IF(AND($AG84&gt;0,ISERROR(MATCH($O84,Lge_NonAero!$B:$B,0))),1,0))</f>
        <v/>
      </c>
      <c r="C84" s="20" t="str">
        <f>IF($H84="","",IF(ISERROR(MATCH($O84,Lge_Handicap!$B:$B,0)),1,0))</f>
        <v/>
      </c>
      <c r="D84" s="20" t="str">
        <f>IF($H84="","",IF(AND(LEFT($P84,3)="Wom",ISERROR(MATCH($O84,Lge_Womens!$B:$B,0))),1,0))</f>
        <v/>
      </c>
      <c r="E84" s="20" t="str">
        <f>IF($H84="","",IF(AND(OR($P84="Vet",$P84="Woman Vet"),ISERROR(MATCH($O84,Lge_Veterans!$B:$B,0))),1,0))</f>
        <v/>
      </c>
      <c r="F84" s="20" t="str">
        <f>IF($H84="","",IF(AND(OR($P84="Junior",$P84="Youth"),ISERROR(MATCH($O84,Lge_Junior!$B:$B,0))),1,0))</f>
        <v/>
      </c>
      <c r="G84" s="20" t="str">
        <f>IF($H84="","",IF(AND($P84="Youth",ISERROR(MATCH($O84,Lge_Youth!$B:$B,0))),1,0))</f>
        <v/>
      </c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</row>
    <row r="85" spans="1:40" x14ac:dyDescent="0.2">
      <c r="A85" s="20" t="str">
        <f>IF($H85="","",IF(ISERROR(MATCH($O85,Lge_Scratch!$B:$B,0)),1,0))</f>
        <v/>
      </c>
      <c r="B85" s="20" t="str">
        <f>IF($H85="","",IF(AND($AG85&gt;0,ISERROR(MATCH($O85,Lge_NonAero!$B:$B,0))),1,0))</f>
        <v/>
      </c>
      <c r="C85" s="20" t="str">
        <f>IF($H85="","",IF(ISERROR(MATCH($O85,Lge_Handicap!$B:$B,0)),1,0))</f>
        <v/>
      </c>
      <c r="D85" s="20" t="str">
        <f>IF($H85="","",IF(AND(LEFT($P85,3)="Wom",ISERROR(MATCH($O85,Lge_Womens!$B:$B,0))),1,0))</f>
        <v/>
      </c>
      <c r="E85" s="20" t="str">
        <f>IF($H85="","",IF(AND(OR($P85="Vet",$P85="Woman Vet"),ISERROR(MATCH($O85,Lge_Veterans!$B:$B,0))),1,0))</f>
        <v/>
      </c>
      <c r="F85" s="20" t="str">
        <f>IF($H85="","",IF(AND(OR($P85="Junior",$P85="Youth"),ISERROR(MATCH($O85,Lge_Junior!$B:$B,0))),1,0))</f>
        <v/>
      </c>
      <c r="G85" s="20" t="str">
        <f>IF($H85="","",IF(AND($P85="Youth",ISERROR(MATCH($O85,Lge_Youth!$B:$B,0))),1,0))</f>
        <v/>
      </c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</row>
    <row r="86" spans="1:40" x14ac:dyDescent="0.2">
      <c r="A86" s="20" t="str">
        <f>IF($H86="","",IF(ISERROR(MATCH($O86,Lge_Scratch!$B:$B,0)),1,0))</f>
        <v/>
      </c>
      <c r="B86" s="20" t="str">
        <f>IF($H86="","",IF(AND($AG86&gt;0,ISERROR(MATCH($O86,Lge_NonAero!$B:$B,0))),1,0))</f>
        <v/>
      </c>
      <c r="C86" s="20" t="str">
        <f>IF($H86="","",IF(ISERROR(MATCH($O86,Lge_Handicap!$B:$B,0)),1,0))</f>
        <v/>
      </c>
      <c r="D86" s="20" t="str">
        <f>IF($H86="","",IF(AND(LEFT($P86,3)="Wom",ISERROR(MATCH($O86,Lge_Womens!$B:$B,0))),1,0))</f>
        <v/>
      </c>
      <c r="E86" s="20" t="str">
        <f>IF($H86="","",IF(AND(OR($P86="Vet",$P86="Woman Vet"),ISERROR(MATCH($O86,Lge_Veterans!$B:$B,0))),1,0))</f>
        <v/>
      </c>
      <c r="F86" s="20" t="str">
        <f>IF($H86="","",IF(AND(OR($P86="Junior",$P86="Youth"),ISERROR(MATCH($O86,Lge_Junior!$B:$B,0))),1,0))</f>
        <v/>
      </c>
      <c r="G86" s="20" t="str">
        <f>IF($H86="","",IF(AND($P86="Youth",ISERROR(MATCH($O86,Lge_Youth!$B:$B,0))),1,0))</f>
        <v/>
      </c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</row>
    <row r="87" spans="1:40" x14ac:dyDescent="0.2">
      <c r="A87" s="20" t="str">
        <f>IF($H87="","",IF(ISERROR(MATCH($O87,Lge_Scratch!$B:$B,0)),1,0))</f>
        <v/>
      </c>
      <c r="B87" s="20" t="str">
        <f>IF($H87="","",IF(AND($AG87&gt;0,ISERROR(MATCH($O87,Lge_NonAero!$B:$B,0))),1,0))</f>
        <v/>
      </c>
      <c r="C87" s="20" t="str">
        <f>IF($H87="","",IF(ISERROR(MATCH($O87,Lge_Handicap!$B:$B,0)),1,0))</f>
        <v/>
      </c>
      <c r="D87" s="20" t="str">
        <f>IF($H87="","",IF(AND(LEFT($P87,3)="Wom",ISERROR(MATCH($O87,Lge_Womens!$B:$B,0))),1,0))</f>
        <v/>
      </c>
      <c r="E87" s="20" t="str">
        <f>IF($H87="","",IF(AND(OR($P87="Vet",$P87="Woman Vet"),ISERROR(MATCH($O87,Lge_Veterans!$B:$B,0))),1,0))</f>
        <v/>
      </c>
      <c r="F87" s="20" t="str">
        <f>IF($H87="","",IF(AND(OR($P87="Junior",$P87="Youth"),ISERROR(MATCH($O87,Lge_Junior!$B:$B,0))),1,0))</f>
        <v/>
      </c>
      <c r="G87" s="20" t="str">
        <f>IF($H87="","",IF(AND($P87="Youth",ISERROR(MATCH($O87,Lge_Youth!$B:$B,0))),1,0))</f>
        <v/>
      </c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</row>
    <row r="88" spans="1:40" x14ac:dyDescent="0.2">
      <c r="A88" s="20" t="str">
        <f>IF($H88="","",IF(ISERROR(MATCH($O88,Lge_Scratch!$B:$B,0)),1,0))</f>
        <v/>
      </c>
      <c r="B88" s="20" t="str">
        <f>IF($H88="","",IF(AND($AG88&gt;0,ISERROR(MATCH($O88,Lge_NonAero!$B:$B,0))),1,0))</f>
        <v/>
      </c>
      <c r="C88" s="20" t="str">
        <f>IF($H88="","",IF(ISERROR(MATCH($O88,Lge_Handicap!$B:$B,0)),1,0))</f>
        <v/>
      </c>
      <c r="D88" s="20" t="str">
        <f>IF($H88="","",IF(AND(LEFT($P88,3)="Wom",ISERROR(MATCH($O88,Lge_Womens!$B:$B,0))),1,0))</f>
        <v/>
      </c>
      <c r="E88" s="20" t="str">
        <f>IF($H88="","",IF(AND(OR($P88="Vet",$P88="Woman Vet"),ISERROR(MATCH($O88,Lge_Veterans!$B:$B,0))),1,0))</f>
        <v/>
      </c>
      <c r="F88" s="20" t="str">
        <f>IF($H88="","",IF(AND(OR($P88="Junior",$P88="Youth"),ISERROR(MATCH($O88,Lge_Junior!$B:$B,0))),1,0))</f>
        <v/>
      </c>
      <c r="G88" s="20" t="str">
        <f>IF($H88="","",IF(AND($P88="Youth",ISERROR(MATCH($O88,Lge_Youth!$B:$B,0))),1,0))</f>
        <v/>
      </c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</row>
    <row r="89" spans="1:40" x14ac:dyDescent="0.2">
      <c r="A89" s="20" t="str">
        <f>IF($H89="","",IF(ISERROR(MATCH($O89,Lge_Scratch!$B:$B,0)),1,0))</f>
        <v/>
      </c>
      <c r="B89" s="20" t="str">
        <f>IF($H89="","",IF(AND($AG89&gt;0,ISERROR(MATCH($O89,Lge_NonAero!$B:$B,0))),1,0))</f>
        <v/>
      </c>
      <c r="C89" s="20" t="str">
        <f>IF($H89="","",IF(ISERROR(MATCH($O89,Lge_Handicap!$B:$B,0)),1,0))</f>
        <v/>
      </c>
      <c r="D89" s="20" t="str">
        <f>IF($H89="","",IF(AND(LEFT($P89,3)="Wom",ISERROR(MATCH($O89,Lge_Womens!$B:$B,0))),1,0))</f>
        <v/>
      </c>
      <c r="E89" s="20" t="str">
        <f>IF($H89="","",IF(AND(OR($P89="Vet",$P89="Woman Vet"),ISERROR(MATCH($O89,Lge_Veterans!$B:$B,0))),1,0))</f>
        <v/>
      </c>
      <c r="F89" s="20" t="str">
        <f>IF($H89="","",IF(AND(OR($P89="Junior",$P89="Youth"),ISERROR(MATCH($O89,Lge_Junior!$B:$B,0))),1,0))</f>
        <v/>
      </c>
      <c r="G89" s="20" t="str">
        <f>IF($H89="","",IF(AND($P89="Youth",ISERROR(MATCH($O89,Lge_Youth!$B:$B,0))),1,0))</f>
        <v/>
      </c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</row>
    <row r="90" spans="1:40" x14ac:dyDescent="0.2">
      <c r="A90" s="20" t="str">
        <f>IF($H90="","",IF(ISERROR(MATCH($O90,Lge_Scratch!$B:$B,0)),1,0))</f>
        <v/>
      </c>
      <c r="B90" s="20" t="str">
        <f>IF($H90="","",IF(AND($AG90&gt;0,ISERROR(MATCH($O90,Lge_NonAero!$B:$B,0))),1,0))</f>
        <v/>
      </c>
      <c r="C90" s="20" t="str">
        <f>IF($H90="","",IF(ISERROR(MATCH($O90,Lge_Handicap!$B:$B,0)),1,0))</f>
        <v/>
      </c>
      <c r="D90" s="20" t="str">
        <f>IF($H90="","",IF(AND(LEFT($P90,3)="Wom",ISERROR(MATCH($O90,Lge_Womens!$B:$B,0))),1,0))</f>
        <v/>
      </c>
      <c r="E90" s="20" t="str">
        <f>IF($H90="","",IF(AND(OR($P90="Vet",$P90="Woman Vet"),ISERROR(MATCH($O90,Lge_Veterans!$B:$B,0))),1,0))</f>
        <v/>
      </c>
      <c r="F90" s="20" t="str">
        <f>IF($H90="","",IF(AND(OR($P90="Junior",$P90="Youth"),ISERROR(MATCH($O90,Lge_Junior!$B:$B,0))),1,0))</f>
        <v/>
      </c>
      <c r="G90" s="20" t="str">
        <f>IF($H90="","",IF(AND($P90="Youth",ISERROR(MATCH($O90,Lge_Youth!$B:$B,0))),1,0))</f>
        <v/>
      </c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</row>
    <row r="91" spans="1:40" x14ac:dyDescent="0.2">
      <c r="A91" s="20" t="str">
        <f>IF($H91="","",IF(ISERROR(MATCH($O91,Lge_Scratch!$B:$B,0)),1,0))</f>
        <v/>
      </c>
      <c r="B91" s="20" t="str">
        <f>IF($H91="","",IF(AND($AG91&gt;0,ISERROR(MATCH($O91,Lge_NonAero!$B:$B,0))),1,0))</f>
        <v/>
      </c>
      <c r="C91" s="20" t="str">
        <f>IF($H91="","",IF(ISERROR(MATCH($O91,Lge_Handicap!$B:$B,0)),1,0))</f>
        <v/>
      </c>
      <c r="D91" s="20" t="str">
        <f>IF($H91="","",IF(AND(LEFT($P91,3)="Wom",ISERROR(MATCH($O91,Lge_Womens!$B:$B,0))),1,0))</f>
        <v/>
      </c>
      <c r="E91" s="20" t="str">
        <f>IF($H91="","",IF(AND(OR($P91="Vet",$P91="Woman Vet"),ISERROR(MATCH($O91,Lge_Veterans!$B:$B,0))),1,0))</f>
        <v/>
      </c>
      <c r="F91" s="20" t="str">
        <f>IF($H91="","",IF(AND(OR($P91="Junior",$P91="Youth"),ISERROR(MATCH($O91,Lge_Junior!$B:$B,0))),1,0))</f>
        <v/>
      </c>
      <c r="G91" s="20" t="str">
        <f>IF($H91="","",IF(AND($P91="Youth",ISERROR(MATCH($O91,Lge_Youth!$B:$B,0))),1,0))</f>
        <v/>
      </c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</row>
    <row r="92" spans="1:40" x14ac:dyDescent="0.2">
      <c r="A92" s="20" t="str">
        <f>IF($H92="","",IF(ISERROR(MATCH($O92,Lge_Scratch!$B:$B,0)),1,0))</f>
        <v/>
      </c>
      <c r="B92" s="20" t="str">
        <f>IF($H92="","",IF(AND($AG92&gt;0,ISERROR(MATCH($O92,Lge_NonAero!$B:$B,0))),1,0))</f>
        <v/>
      </c>
      <c r="C92" s="20" t="str">
        <f>IF($H92="","",IF(ISERROR(MATCH($O92,Lge_Handicap!$B:$B,0)),1,0))</f>
        <v/>
      </c>
      <c r="D92" s="20" t="str">
        <f>IF($H92="","",IF(AND(LEFT($P92,3)="Wom",ISERROR(MATCH($O92,Lge_Womens!$B:$B,0))),1,0))</f>
        <v/>
      </c>
      <c r="E92" s="20" t="str">
        <f>IF($H92="","",IF(AND(OR($P92="Vet",$P92="Woman Vet"),ISERROR(MATCH($O92,Lge_Veterans!$B:$B,0))),1,0))</f>
        <v/>
      </c>
      <c r="F92" s="20" t="str">
        <f>IF($H92="","",IF(AND(OR($P92="Junior",$P92="Youth"),ISERROR(MATCH($O92,Lge_Junior!$B:$B,0))),1,0))</f>
        <v/>
      </c>
      <c r="G92" s="20" t="str">
        <f>IF($H92="","",IF(AND($P92="Youth",ISERROR(MATCH($O92,Lge_Youth!$B:$B,0))),1,0))</f>
        <v/>
      </c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</row>
    <row r="93" spans="1:40" x14ac:dyDescent="0.2">
      <c r="A93" s="20" t="str">
        <f>IF($H93="","",IF(ISERROR(MATCH($O93,Lge_Scratch!$B:$B,0)),1,0))</f>
        <v/>
      </c>
      <c r="B93" s="20" t="str">
        <f>IF($H93="","",IF(AND($AG93&gt;0,ISERROR(MATCH($O93,Lge_NonAero!$B:$B,0))),1,0))</f>
        <v/>
      </c>
      <c r="C93" s="20" t="str">
        <f>IF($H93="","",IF(ISERROR(MATCH($O93,Lge_Handicap!$B:$B,0)),1,0))</f>
        <v/>
      </c>
      <c r="D93" s="20" t="str">
        <f>IF($H93="","",IF(AND(LEFT($P93,3)="Wom",ISERROR(MATCH($O93,Lge_Womens!$B:$B,0))),1,0))</f>
        <v/>
      </c>
      <c r="E93" s="20" t="str">
        <f>IF($H93="","",IF(AND(OR($P93="Vet",$P93="Woman Vet"),ISERROR(MATCH($O93,Lge_Veterans!$B:$B,0))),1,0))</f>
        <v/>
      </c>
      <c r="F93" s="20" t="str">
        <f>IF($H93="","",IF(AND(OR($P93="Junior",$P93="Youth"),ISERROR(MATCH($O93,Lge_Junior!$B:$B,0))),1,0))</f>
        <v/>
      </c>
      <c r="G93" s="20" t="str">
        <f>IF($H93="","",IF(AND($P93="Youth",ISERROR(MATCH($O93,Lge_Youth!$B:$B,0))),1,0))</f>
        <v/>
      </c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</row>
    <row r="94" spans="1:40" x14ac:dyDescent="0.2">
      <c r="A94" s="29"/>
      <c r="B94" s="20"/>
      <c r="C94" s="29"/>
      <c r="D94" s="29"/>
      <c r="E94" s="29"/>
      <c r="F94" s="29"/>
      <c r="G94" s="29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</row>
    <row r="95" spans="1:40" x14ac:dyDescent="0.2">
      <c r="A95" s="29"/>
      <c r="B95" s="20"/>
      <c r="C95" s="29"/>
      <c r="D95" s="29"/>
      <c r="E95" s="29"/>
      <c r="F95" s="29"/>
      <c r="G95" s="29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</row>
    <row r="96" spans="1:40" x14ac:dyDescent="0.2">
      <c r="A96" s="29"/>
      <c r="B96" s="20"/>
      <c r="C96" s="29"/>
      <c r="D96" s="29"/>
      <c r="E96" s="29"/>
      <c r="F96" s="29"/>
      <c r="G96" s="29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</row>
    <row r="97" spans="1:40" x14ac:dyDescent="0.2">
      <c r="A97" s="29"/>
      <c r="B97" s="20"/>
      <c r="C97" s="29"/>
      <c r="D97" s="29"/>
      <c r="E97" s="29"/>
      <c r="F97" s="29"/>
      <c r="G97" s="29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</row>
    <row r="98" spans="1:40" x14ac:dyDescent="0.2">
      <c r="A98" s="29"/>
      <c r="B98" s="20"/>
      <c r="C98" s="29"/>
      <c r="D98" s="29"/>
      <c r="E98" s="29"/>
      <c r="F98" s="29"/>
      <c r="G98" s="29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</row>
    <row r="99" spans="1:40" x14ac:dyDescent="0.2">
      <c r="A99" s="29"/>
      <c r="B99" s="20"/>
      <c r="C99" s="29"/>
      <c r="D99" s="29"/>
      <c r="E99" s="29"/>
      <c r="F99" s="29"/>
      <c r="G99" s="29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</row>
    <row r="100" spans="1:40" x14ac:dyDescent="0.2">
      <c r="A100" s="29"/>
      <c r="B100" s="20"/>
      <c r="C100" s="29"/>
      <c r="D100" s="29"/>
      <c r="E100" s="29"/>
      <c r="F100" s="29"/>
      <c r="G100" s="29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</row>
    <row r="101" spans="1:40" x14ac:dyDescent="0.2">
      <c r="A101" s="29"/>
      <c r="B101" s="20"/>
      <c r="C101" s="29"/>
      <c r="D101" s="29"/>
      <c r="E101" s="29"/>
      <c r="F101" s="29"/>
      <c r="G101" s="29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</row>
    <row r="102" spans="1:40" x14ac:dyDescent="0.2">
      <c r="A102" s="29"/>
      <c r="B102" s="20"/>
      <c r="C102" s="29"/>
      <c r="D102" s="29"/>
      <c r="E102" s="29"/>
      <c r="F102" s="29"/>
      <c r="G102" s="29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</row>
    <row r="103" spans="1:40" x14ac:dyDescent="0.2">
      <c r="A103" s="29"/>
      <c r="B103" s="20"/>
      <c r="C103" s="29"/>
      <c r="D103" s="29"/>
      <c r="E103" s="29"/>
      <c r="F103" s="29"/>
      <c r="G103" s="29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</row>
    <row r="104" spans="1:40" x14ac:dyDescent="0.2">
      <c r="A104" s="29"/>
      <c r="B104" s="20"/>
      <c r="C104" s="29"/>
      <c r="D104" s="29"/>
      <c r="E104" s="29"/>
      <c r="F104" s="29"/>
      <c r="G104" s="29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</row>
    <row r="105" spans="1:40" x14ac:dyDescent="0.2">
      <c r="A105" s="29"/>
      <c r="B105" s="20"/>
      <c r="C105" s="29"/>
      <c r="D105" s="29"/>
      <c r="E105" s="29"/>
      <c r="F105" s="29"/>
      <c r="G105" s="29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</row>
    <row r="106" spans="1:40" x14ac:dyDescent="0.2">
      <c r="A106" s="29"/>
      <c r="B106" s="20"/>
      <c r="C106" s="29"/>
      <c r="D106" s="29"/>
      <c r="E106" s="29"/>
      <c r="F106" s="29"/>
      <c r="G106" s="29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</row>
    <row r="107" spans="1:40" x14ac:dyDescent="0.2">
      <c r="A107" s="29"/>
      <c r="B107" s="20"/>
      <c r="C107" s="29"/>
      <c r="D107" s="29"/>
      <c r="E107" s="29"/>
      <c r="F107" s="29"/>
      <c r="G107" s="29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</row>
    <row r="108" spans="1:40" x14ac:dyDescent="0.2">
      <c r="A108" s="29"/>
      <c r="B108" s="20"/>
      <c r="C108" s="29"/>
      <c r="D108" s="29"/>
      <c r="E108" s="29"/>
      <c r="F108" s="29"/>
      <c r="G108" s="29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</row>
    <row r="109" spans="1:40" x14ac:dyDescent="0.2">
      <c r="A109" s="29"/>
      <c r="B109" s="20"/>
      <c r="C109" s="29"/>
      <c r="D109" s="29"/>
      <c r="E109" s="29"/>
      <c r="F109" s="29"/>
      <c r="G109" s="29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</row>
    <row r="110" spans="1:40" x14ac:dyDescent="0.2">
      <c r="A110" s="29"/>
      <c r="B110" s="20"/>
      <c r="C110" s="29"/>
      <c r="D110" s="29"/>
      <c r="E110" s="29"/>
      <c r="F110" s="29"/>
      <c r="G110" s="29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</row>
    <row r="111" spans="1:40" x14ac:dyDescent="0.2">
      <c r="A111" s="29"/>
      <c r="B111" s="20"/>
      <c r="C111" s="29"/>
      <c r="D111" s="29"/>
      <c r="E111" s="29"/>
      <c r="F111" s="29"/>
      <c r="G111" s="29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</row>
    <row r="112" spans="1:40" x14ac:dyDescent="0.2">
      <c r="A112" s="29"/>
      <c r="B112" s="20"/>
      <c r="C112" s="29"/>
      <c r="D112" s="29"/>
      <c r="E112" s="29"/>
      <c r="F112" s="29"/>
      <c r="G112" s="29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</row>
    <row r="113" spans="1:40" x14ac:dyDescent="0.2">
      <c r="A113" s="29"/>
      <c r="B113" s="20"/>
      <c r="C113" s="29"/>
      <c r="D113" s="29"/>
      <c r="E113" s="29"/>
      <c r="F113" s="29"/>
      <c r="G113" s="29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</row>
    <row r="114" spans="1:40" x14ac:dyDescent="0.2">
      <c r="A114" s="29"/>
      <c r="B114" s="20"/>
      <c r="C114" s="29"/>
      <c r="D114" s="29"/>
      <c r="E114" s="29"/>
      <c r="F114" s="29"/>
      <c r="G114" s="29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</row>
    <row r="115" spans="1:40" x14ac:dyDescent="0.2">
      <c r="A115" s="29"/>
      <c r="B115" s="20"/>
      <c r="C115" s="29"/>
      <c r="D115" s="29"/>
      <c r="E115" s="29"/>
      <c r="F115" s="29"/>
      <c r="G115" s="29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</row>
    <row r="116" spans="1:40" x14ac:dyDescent="0.2">
      <c r="A116" s="29"/>
      <c r="B116" s="20"/>
      <c r="C116" s="29"/>
      <c r="D116" s="29"/>
      <c r="E116" s="29"/>
      <c r="F116" s="29"/>
      <c r="G116" s="29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</row>
    <row r="117" spans="1:40" x14ac:dyDescent="0.2">
      <c r="A117" s="29"/>
      <c r="B117" s="20"/>
      <c r="C117" s="29"/>
      <c r="D117" s="29"/>
      <c r="E117" s="29"/>
      <c r="F117" s="29"/>
      <c r="G117" s="29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</row>
    <row r="118" spans="1:40" x14ac:dyDescent="0.2">
      <c r="A118" s="29"/>
      <c r="B118" s="20"/>
      <c r="C118" s="29"/>
      <c r="D118" s="29"/>
      <c r="E118" s="29"/>
      <c r="F118" s="29"/>
      <c r="G118" s="29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</row>
    <row r="119" spans="1:40" x14ac:dyDescent="0.2">
      <c r="A119" s="29"/>
      <c r="B119" s="20"/>
      <c r="C119" s="29"/>
      <c r="D119" s="29"/>
      <c r="E119" s="29"/>
      <c r="F119" s="29"/>
      <c r="G119" s="29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</row>
    <row r="120" spans="1:40" x14ac:dyDescent="0.2">
      <c r="A120" s="29"/>
      <c r="B120" s="20"/>
      <c r="C120" s="29"/>
      <c r="D120" s="29"/>
      <c r="E120" s="29"/>
      <c r="F120" s="29"/>
      <c r="G120" s="29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</row>
    <row r="121" spans="1:40" x14ac:dyDescent="0.2">
      <c r="A121" s="29"/>
      <c r="B121" s="20"/>
      <c r="C121" s="29"/>
      <c r="D121" s="29"/>
      <c r="E121" s="29"/>
      <c r="F121" s="29"/>
      <c r="G121" s="29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</row>
    <row r="122" spans="1:40" x14ac:dyDescent="0.2">
      <c r="A122" s="29"/>
      <c r="B122" s="20"/>
      <c r="C122" s="29"/>
      <c r="D122" s="29"/>
      <c r="E122" s="29"/>
      <c r="F122" s="29"/>
      <c r="G122" s="29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</row>
    <row r="123" spans="1:40" x14ac:dyDescent="0.2">
      <c r="A123" s="29"/>
      <c r="B123" s="20"/>
      <c r="C123" s="29"/>
      <c r="D123" s="29"/>
      <c r="E123" s="29"/>
      <c r="F123" s="29"/>
      <c r="G123" s="29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</row>
    <row r="124" spans="1:40" x14ac:dyDescent="0.2">
      <c r="A124" s="29"/>
      <c r="B124" s="20"/>
      <c r="C124" s="29"/>
      <c r="D124" s="29"/>
      <c r="E124" s="29"/>
      <c r="F124" s="29"/>
      <c r="G124" s="29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</row>
    <row r="125" spans="1:40" x14ac:dyDescent="0.2">
      <c r="A125" s="29"/>
      <c r="B125" s="20"/>
      <c r="C125" s="29"/>
      <c r="D125" s="29"/>
      <c r="E125" s="29"/>
      <c r="F125" s="29"/>
      <c r="G125" s="29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</row>
    <row r="126" spans="1:40" x14ac:dyDescent="0.2">
      <c r="A126" s="29"/>
      <c r="B126" s="20"/>
      <c r="C126" s="29"/>
      <c r="D126" s="29"/>
      <c r="E126" s="29"/>
      <c r="F126" s="29"/>
      <c r="G126" s="29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</row>
    <row r="127" spans="1:40" x14ac:dyDescent="0.2">
      <c r="A127" s="29"/>
      <c r="B127" s="20"/>
      <c r="C127" s="29"/>
      <c r="D127" s="29"/>
      <c r="E127" s="29"/>
      <c r="F127" s="29"/>
      <c r="G127" s="29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</row>
    <row r="128" spans="1:40" x14ac:dyDescent="0.2">
      <c r="A128" s="29"/>
      <c r="B128" s="20"/>
      <c r="C128" s="29"/>
      <c r="D128" s="29"/>
      <c r="E128" s="29"/>
      <c r="F128" s="29"/>
      <c r="G128" s="29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</row>
    <row r="129" spans="1:40" x14ac:dyDescent="0.2">
      <c r="A129" s="29"/>
      <c r="B129" s="20"/>
      <c r="C129" s="29"/>
      <c r="D129" s="29"/>
      <c r="E129" s="29"/>
      <c r="F129" s="29"/>
      <c r="G129" s="29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</row>
    <row r="130" spans="1:40" x14ac:dyDescent="0.2">
      <c r="A130" s="29"/>
      <c r="B130" s="20"/>
      <c r="C130" s="29"/>
      <c r="D130" s="29"/>
      <c r="E130" s="29"/>
      <c r="F130" s="29"/>
      <c r="G130" s="29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</row>
    <row r="131" spans="1:40" x14ac:dyDescent="0.2">
      <c r="A131" s="29"/>
      <c r="B131" s="20"/>
      <c r="C131" s="29"/>
      <c r="D131" s="29"/>
      <c r="E131" s="29"/>
      <c r="F131" s="29"/>
      <c r="G131" s="29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</row>
    <row r="132" spans="1:40" x14ac:dyDescent="0.2">
      <c r="A132" s="29"/>
      <c r="B132" s="20"/>
      <c r="C132" s="29"/>
      <c r="D132" s="29"/>
      <c r="E132" s="29"/>
      <c r="F132" s="29"/>
      <c r="G132" s="29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</row>
    <row r="133" spans="1:40" x14ac:dyDescent="0.2">
      <c r="A133" s="29"/>
      <c r="B133" s="20"/>
      <c r="C133" s="29"/>
      <c r="D133" s="29"/>
      <c r="E133" s="29"/>
      <c r="F133" s="29"/>
      <c r="G133" s="29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</row>
    <row r="134" spans="1:40" x14ac:dyDescent="0.2">
      <c r="A134" s="29"/>
      <c r="B134" s="20"/>
      <c r="C134" s="29"/>
      <c r="D134" s="29"/>
      <c r="E134" s="29"/>
      <c r="F134" s="29"/>
      <c r="G134" s="29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</row>
    <row r="135" spans="1:40" x14ac:dyDescent="0.2">
      <c r="A135" s="29"/>
      <c r="B135" s="20"/>
      <c r="C135" s="29"/>
      <c r="D135" s="29"/>
      <c r="E135" s="29"/>
      <c r="F135" s="29"/>
      <c r="G135" s="29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</row>
    <row r="136" spans="1:40" x14ac:dyDescent="0.2">
      <c r="A136" s="29"/>
      <c r="B136" s="20"/>
      <c r="C136" s="29"/>
      <c r="D136" s="29"/>
      <c r="E136" s="29"/>
      <c r="F136" s="29"/>
      <c r="G136" s="29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</row>
    <row r="137" spans="1:40" x14ac:dyDescent="0.2">
      <c r="A137" s="29"/>
      <c r="B137" s="20"/>
      <c r="C137" s="29"/>
      <c r="D137" s="29"/>
      <c r="E137" s="29"/>
      <c r="F137" s="29"/>
      <c r="G137" s="29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</row>
    <row r="138" spans="1:40" x14ac:dyDescent="0.2">
      <c r="A138" s="29"/>
      <c r="B138" s="20"/>
      <c r="C138" s="29"/>
      <c r="D138" s="29"/>
      <c r="E138" s="29"/>
      <c r="F138" s="29"/>
      <c r="G138" s="29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</row>
    <row r="139" spans="1:40" x14ac:dyDescent="0.2">
      <c r="A139" s="29"/>
      <c r="B139" s="20"/>
      <c r="C139" s="29"/>
      <c r="D139" s="29"/>
      <c r="E139" s="29"/>
      <c r="F139" s="29"/>
      <c r="G139" s="29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</row>
    <row r="140" spans="1:40" x14ac:dyDescent="0.2">
      <c r="A140" s="29"/>
      <c r="B140" s="20"/>
      <c r="C140" s="29"/>
      <c r="D140" s="29"/>
      <c r="E140" s="29"/>
      <c r="F140" s="29"/>
      <c r="G140" s="29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</row>
    <row r="141" spans="1:40" x14ac:dyDescent="0.2">
      <c r="A141" s="29"/>
      <c r="B141" s="20"/>
      <c r="C141" s="29"/>
      <c r="D141" s="29"/>
      <c r="E141" s="29"/>
      <c r="F141" s="29"/>
      <c r="G141" s="29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</row>
    <row r="142" spans="1:40" x14ac:dyDescent="0.2">
      <c r="A142" s="29"/>
      <c r="B142" s="20"/>
      <c r="C142" s="29"/>
      <c r="D142" s="29"/>
      <c r="E142" s="29"/>
      <c r="F142" s="29"/>
      <c r="G142" s="29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</row>
    <row r="143" spans="1:40" x14ac:dyDescent="0.2">
      <c r="A143" s="29"/>
      <c r="B143" s="20"/>
      <c r="C143" s="29"/>
      <c r="D143" s="29"/>
      <c r="E143" s="29"/>
      <c r="F143" s="29"/>
      <c r="G143" s="29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</row>
    <row r="144" spans="1:40" x14ac:dyDescent="0.2">
      <c r="A144" s="29"/>
      <c r="B144" s="20"/>
      <c r="C144" s="29"/>
      <c r="D144" s="29"/>
      <c r="E144" s="29"/>
      <c r="F144" s="29"/>
      <c r="G144" s="29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</row>
    <row r="145" spans="1:40" x14ac:dyDescent="0.2">
      <c r="A145" s="29"/>
      <c r="B145" s="20"/>
      <c r="C145" s="29"/>
      <c r="D145" s="29"/>
      <c r="E145" s="29"/>
      <c r="F145" s="29"/>
      <c r="G145" s="29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</row>
    <row r="146" spans="1:40" x14ac:dyDescent="0.2">
      <c r="A146" s="29"/>
      <c r="B146" s="20"/>
      <c r="C146" s="29"/>
      <c r="D146" s="29"/>
      <c r="E146" s="29"/>
      <c r="F146" s="29"/>
      <c r="G146" s="29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</row>
    <row r="147" spans="1:40" x14ac:dyDescent="0.2">
      <c r="A147" s="29"/>
      <c r="B147" s="20"/>
      <c r="C147" s="29"/>
      <c r="D147" s="29"/>
      <c r="E147" s="29"/>
      <c r="F147" s="29"/>
      <c r="G147" s="29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</row>
    <row r="148" spans="1:40" x14ac:dyDescent="0.2">
      <c r="A148" s="29"/>
      <c r="B148" s="20"/>
      <c r="C148" s="29"/>
      <c r="D148" s="29"/>
      <c r="E148" s="29"/>
      <c r="F148" s="29"/>
      <c r="G148" s="29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</row>
    <row r="149" spans="1:40" x14ac:dyDescent="0.2">
      <c r="A149" s="29"/>
      <c r="B149" s="20"/>
      <c r="C149" s="29"/>
      <c r="D149" s="29"/>
      <c r="E149" s="29"/>
      <c r="F149" s="29"/>
      <c r="G149" s="29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</row>
    <row r="150" spans="1:40" x14ac:dyDescent="0.2">
      <c r="A150" s="29"/>
      <c r="B150" s="20"/>
      <c r="C150" s="29"/>
      <c r="D150" s="29"/>
      <c r="E150" s="29"/>
      <c r="F150" s="29"/>
      <c r="G150" s="29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</row>
    <row r="151" spans="1:40" x14ac:dyDescent="0.2">
      <c r="A151" s="29"/>
      <c r="B151" s="20"/>
      <c r="C151" s="29"/>
      <c r="D151" s="29"/>
      <c r="E151" s="29"/>
      <c r="F151" s="29"/>
      <c r="G151" s="29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</row>
    <row r="152" spans="1:40" x14ac:dyDescent="0.2">
      <c r="A152" s="29"/>
      <c r="B152" s="20"/>
      <c r="C152" s="29"/>
      <c r="D152" s="29"/>
      <c r="E152" s="29"/>
      <c r="F152" s="29"/>
      <c r="G152" s="29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</row>
    <row r="153" spans="1:40" x14ac:dyDescent="0.2">
      <c r="A153" s="29"/>
      <c r="B153" s="20"/>
      <c r="C153" s="29"/>
      <c r="D153" s="29"/>
      <c r="E153" s="29"/>
      <c r="F153" s="29"/>
      <c r="G153" s="29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</row>
    <row r="154" spans="1:40" x14ac:dyDescent="0.2">
      <c r="A154" s="29"/>
      <c r="B154" s="20"/>
      <c r="C154" s="29"/>
      <c r="D154" s="29"/>
      <c r="E154" s="29"/>
      <c r="F154" s="29"/>
      <c r="G154" s="29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</row>
    <row r="155" spans="1:40" x14ac:dyDescent="0.2">
      <c r="A155" s="29"/>
      <c r="B155" s="20"/>
      <c r="C155" s="29"/>
      <c r="D155" s="29"/>
      <c r="E155" s="29"/>
      <c r="F155" s="29"/>
      <c r="G155" s="29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</row>
    <row r="156" spans="1:40" x14ac:dyDescent="0.2">
      <c r="A156" s="29"/>
      <c r="B156" s="20"/>
      <c r="C156" s="29"/>
      <c r="D156" s="29"/>
      <c r="E156" s="29"/>
      <c r="F156" s="29"/>
      <c r="G156" s="29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</row>
    <row r="157" spans="1:40" x14ac:dyDescent="0.2">
      <c r="A157" s="29"/>
      <c r="B157" s="20"/>
      <c r="C157" s="29"/>
      <c r="D157" s="29"/>
      <c r="E157" s="29"/>
      <c r="F157" s="29"/>
      <c r="G157" s="29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</row>
    <row r="158" spans="1:40" x14ac:dyDescent="0.2">
      <c r="A158" s="29"/>
      <c r="B158" s="20"/>
      <c r="C158" s="29"/>
      <c r="D158" s="29"/>
      <c r="E158" s="29"/>
      <c r="F158" s="29"/>
      <c r="G158" s="29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</row>
    <row r="159" spans="1:40" x14ac:dyDescent="0.2">
      <c r="A159" s="29"/>
      <c r="B159" s="20"/>
      <c r="C159" s="29"/>
      <c r="D159" s="29"/>
      <c r="E159" s="29"/>
      <c r="F159" s="29"/>
      <c r="G159" s="29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</row>
    <row r="160" spans="1:40" x14ac:dyDescent="0.2">
      <c r="A160" s="29"/>
      <c r="B160" s="20"/>
      <c r="C160" s="29"/>
      <c r="D160" s="29"/>
      <c r="E160" s="29"/>
      <c r="F160" s="29"/>
      <c r="G160" s="29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</row>
    <row r="161" spans="1:40" x14ac:dyDescent="0.2">
      <c r="A161" s="29"/>
      <c r="B161" s="20"/>
      <c r="C161" s="29"/>
      <c r="D161" s="29"/>
      <c r="E161" s="29"/>
      <c r="F161" s="29"/>
      <c r="G161" s="29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</row>
    <row r="162" spans="1:40" x14ac:dyDescent="0.2">
      <c r="A162" s="29"/>
      <c r="B162" s="20"/>
      <c r="C162" s="29"/>
      <c r="D162" s="29"/>
      <c r="E162" s="29"/>
      <c r="F162" s="29"/>
      <c r="G162" s="29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</row>
    <row r="163" spans="1:40" x14ac:dyDescent="0.2">
      <c r="A163" s="29"/>
      <c r="B163" s="20"/>
      <c r="C163" s="29"/>
      <c r="D163" s="29"/>
      <c r="E163" s="29"/>
      <c r="F163" s="29"/>
      <c r="G163" s="29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</row>
    <row r="164" spans="1:40" x14ac:dyDescent="0.2">
      <c r="A164" s="29"/>
      <c r="B164" s="20"/>
      <c r="C164" s="29"/>
      <c r="D164" s="29"/>
      <c r="E164" s="29"/>
      <c r="F164" s="29"/>
      <c r="G164" s="29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</row>
    <row r="165" spans="1:40" x14ac:dyDescent="0.2">
      <c r="A165" s="29"/>
      <c r="B165" s="20"/>
      <c r="C165" s="29"/>
      <c r="D165" s="29"/>
      <c r="E165" s="29"/>
      <c r="F165" s="29"/>
      <c r="G165" s="29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</row>
    <row r="166" spans="1:40" x14ac:dyDescent="0.2">
      <c r="A166" s="29"/>
      <c r="B166" s="20"/>
      <c r="C166" s="29"/>
      <c r="D166" s="29"/>
      <c r="E166" s="29"/>
      <c r="F166" s="29"/>
      <c r="G166" s="29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</row>
    <row r="167" spans="1:40" x14ac:dyDescent="0.2">
      <c r="A167" s="29"/>
      <c r="B167" s="20"/>
      <c r="C167" s="29"/>
      <c r="D167" s="29"/>
      <c r="E167" s="29"/>
      <c r="F167" s="29"/>
      <c r="G167" s="29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</row>
    <row r="168" spans="1:40" x14ac:dyDescent="0.2">
      <c r="A168" s="29"/>
      <c r="B168" s="20"/>
      <c r="C168" s="29"/>
      <c r="D168" s="29"/>
      <c r="E168" s="29"/>
      <c r="F168" s="29"/>
      <c r="G168" s="29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</row>
    <row r="169" spans="1:40" x14ac:dyDescent="0.2">
      <c r="A169" s="29"/>
      <c r="B169" s="20"/>
      <c r="C169" s="29"/>
      <c r="D169" s="29"/>
      <c r="E169" s="29"/>
      <c r="F169" s="29"/>
      <c r="G169" s="29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</row>
    <row r="170" spans="1:40" x14ac:dyDescent="0.2">
      <c r="A170" s="29"/>
      <c r="B170" s="20"/>
      <c r="C170" s="29"/>
      <c r="D170" s="29"/>
      <c r="E170" s="29"/>
      <c r="F170" s="29"/>
      <c r="G170" s="29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</row>
    <row r="171" spans="1:40" x14ac:dyDescent="0.2">
      <c r="A171" s="29"/>
      <c r="B171" s="20"/>
      <c r="C171" s="29"/>
      <c r="D171" s="29"/>
      <c r="E171" s="29"/>
      <c r="F171" s="29"/>
      <c r="G171" s="29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</row>
    <row r="172" spans="1:40" x14ac:dyDescent="0.2">
      <c r="A172" s="29"/>
      <c r="B172" s="20"/>
      <c r="C172" s="29"/>
      <c r="D172" s="29"/>
      <c r="E172" s="29"/>
      <c r="F172" s="29"/>
      <c r="G172" s="29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</row>
    <row r="173" spans="1:40" x14ac:dyDescent="0.2">
      <c r="A173" s="29"/>
      <c r="B173" s="20"/>
      <c r="C173" s="29"/>
      <c r="D173" s="29"/>
      <c r="E173" s="29"/>
      <c r="F173" s="29"/>
      <c r="G173" s="29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</row>
    <row r="174" spans="1:40" x14ac:dyDescent="0.2">
      <c r="A174" s="29"/>
      <c r="B174" s="20"/>
      <c r="C174" s="29"/>
      <c r="D174" s="29"/>
      <c r="E174" s="29"/>
      <c r="F174" s="29"/>
      <c r="G174" s="29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</row>
    <row r="175" spans="1:40" x14ac:dyDescent="0.2">
      <c r="A175" s="29"/>
      <c r="B175" s="20"/>
      <c r="C175" s="29"/>
      <c r="D175" s="29"/>
      <c r="E175" s="29"/>
      <c r="F175" s="29"/>
      <c r="G175" s="29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</row>
    <row r="176" spans="1:40" x14ac:dyDescent="0.2">
      <c r="A176" s="29"/>
      <c r="B176" s="20"/>
      <c r="C176" s="29"/>
      <c r="D176" s="29"/>
      <c r="E176" s="29"/>
      <c r="F176" s="29"/>
      <c r="G176" s="29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</row>
    <row r="177" spans="1:40" x14ac:dyDescent="0.2">
      <c r="A177" s="29"/>
      <c r="B177" s="20"/>
      <c r="C177" s="29"/>
      <c r="D177" s="29"/>
      <c r="E177" s="29"/>
      <c r="F177" s="29"/>
      <c r="G177" s="29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</row>
    <row r="178" spans="1:40" x14ac:dyDescent="0.2">
      <c r="A178" s="29"/>
      <c r="B178" s="20"/>
      <c r="C178" s="29"/>
      <c r="D178" s="29"/>
      <c r="E178" s="29"/>
      <c r="F178" s="29"/>
      <c r="G178" s="29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</row>
    <row r="179" spans="1:40" x14ac:dyDescent="0.2">
      <c r="A179" s="29"/>
      <c r="B179" s="20"/>
      <c r="C179" s="29"/>
      <c r="D179" s="29"/>
      <c r="E179" s="29"/>
      <c r="F179" s="29"/>
      <c r="G179" s="29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</row>
    <row r="180" spans="1:40" x14ac:dyDescent="0.2">
      <c r="A180" s="29"/>
      <c r="B180" s="20"/>
      <c r="C180" s="29"/>
      <c r="D180" s="29"/>
      <c r="E180" s="29"/>
      <c r="F180" s="29"/>
      <c r="G180" s="29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</row>
    <row r="181" spans="1:40" x14ac:dyDescent="0.2">
      <c r="A181" s="29"/>
      <c r="B181" s="20"/>
      <c r="C181" s="29"/>
      <c r="D181" s="29"/>
      <c r="E181" s="29"/>
      <c r="F181" s="29"/>
      <c r="G181" s="29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</row>
    <row r="182" spans="1:40" x14ac:dyDescent="0.2">
      <c r="A182" s="29"/>
      <c r="B182" s="20"/>
      <c r="C182" s="29"/>
      <c r="D182" s="29"/>
      <c r="E182" s="29"/>
      <c r="F182" s="29"/>
      <c r="G182" s="29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</row>
    <row r="183" spans="1:40" x14ac:dyDescent="0.2">
      <c r="A183" s="29"/>
      <c r="B183" s="20"/>
      <c r="C183" s="29"/>
      <c r="D183" s="29"/>
      <c r="E183" s="29"/>
      <c r="F183" s="29"/>
      <c r="G183" s="29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</row>
    <row r="184" spans="1:40" x14ac:dyDescent="0.2">
      <c r="A184" s="29"/>
      <c r="B184" s="20"/>
      <c r="C184" s="29"/>
      <c r="D184" s="29"/>
      <c r="E184" s="29"/>
      <c r="F184" s="29"/>
      <c r="G184" s="29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</row>
    <row r="185" spans="1:40" x14ac:dyDescent="0.2">
      <c r="A185" s="29"/>
      <c r="B185" s="20"/>
      <c r="C185" s="29"/>
      <c r="D185" s="29"/>
      <c r="E185" s="29"/>
      <c r="F185" s="29"/>
      <c r="G185" s="29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</row>
    <row r="186" spans="1:40" x14ac:dyDescent="0.2">
      <c r="A186" s="29"/>
      <c r="B186" s="20"/>
      <c r="C186" s="29"/>
      <c r="D186" s="29"/>
      <c r="E186" s="29"/>
      <c r="F186" s="29"/>
      <c r="G186" s="29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</row>
    <row r="187" spans="1:40" x14ac:dyDescent="0.2">
      <c r="A187" s="29"/>
      <c r="B187" s="20"/>
      <c r="C187" s="29"/>
      <c r="D187" s="29"/>
      <c r="E187" s="29"/>
      <c r="F187" s="29"/>
      <c r="G187" s="29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</row>
    <row r="188" spans="1:40" x14ac:dyDescent="0.2">
      <c r="A188" s="29"/>
      <c r="B188" s="20"/>
      <c r="C188" s="29"/>
      <c r="D188" s="29"/>
      <c r="E188" s="29"/>
      <c r="F188" s="29"/>
      <c r="G188" s="29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</row>
    <row r="189" spans="1:40" x14ac:dyDescent="0.2">
      <c r="A189" s="29"/>
      <c r="B189" s="20"/>
      <c r="C189" s="29"/>
      <c r="D189" s="29"/>
      <c r="E189" s="29"/>
      <c r="F189" s="29"/>
      <c r="G189" s="29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</row>
    <row r="190" spans="1:40" x14ac:dyDescent="0.2">
      <c r="A190" s="29"/>
      <c r="B190" s="20"/>
      <c r="C190" s="29"/>
      <c r="D190" s="29"/>
      <c r="E190" s="29"/>
      <c r="F190" s="29"/>
      <c r="G190" s="29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</row>
    <row r="191" spans="1:40" x14ac:dyDescent="0.2">
      <c r="A191" s="29"/>
      <c r="B191" s="20"/>
      <c r="C191" s="29"/>
      <c r="D191" s="29"/>
      <c r="E191" s="29"/>
      <c r="F191" s="29"/>
      <c r="G191" s="29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</row>
    <row r="192" spans="1:40" x14ac:dyDescent="0.2">
      <c r="A192" s="29"/>
      <c r="B192" s="20"/>
      <c r="C192" s="29"/>
      <c r="D192" s="29"/>
      <c r="E192" s="29"/>
      <c r="F192" s="29"/>
      <c r="G192" s="29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</row>
    <row r="193" spans="1:40" x14ac:dyDescent="0.2">
      <c r="A193" s="29"/>
      <c r="B193" s="20"/>
      <c r="C193" s="29"/>
      <c r="D193" s="29"/>
      <c r="E193" s="29"/>
      <c r="F193" s="29"/>
      <c r="G193" s="29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</row>
    <row r="194" spans="1:40" x14ac:dyDescent="0.2">
      <c r="A194" s="29"/>
      <c r="B194" s="20"/>
      <c r="C194" s="29"/>
      <c r="D194" s="29"/>
      <c r="E194" s="29"/>
      <c r="F194" s="29"/>
      <c r="G194" s="29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</row>
    <row r="195" spans="1:40" x14ac:dyDescent="0.2">
      <c r="A195" s="29"/>
      <c r="B195" s="20"/>
      <c r="C195" s="29"/>
      <c r="D195" s="29"/>
      <c r="E195" s="29"/>
      <c r="F195" s="29"/>
      <c r="G195" s="29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</row>
    <row r="196" spans="1:40" x14ac:dyDescent="0.2">
      <c r="A196" s="29"/>
      <c r="B196" s="20"/>
      <c r="C196" s="29"/>
      <c r="D196" s="29"/>
      <c r="E196" s="29"/>
      <c r="F196" s="29"/>
      <c r="G196" s="29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</row>
    <row r="197" spans="1:40" x14ac:dyDescent="0.2">
      <c r="A197" s="29"/>
      <c r="B197" s="20"/>
      <c r="C197" s="29"/>
      <c r="D197" s="29"/>
      <c r="E197" s="29"/>
      <c r="F197" s="29"/>
      <c r="G197" s="29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</row>
    <row r="198" spans="1:40" x14ac:dyDescent="0.2">
      <c r="A198" s="29"/>
      <c r="B198" s="20"/>
      <c r="C198" s="29"/>
      <c r="D198" s="29"/>
      <c r="E198" s="29"/>
      <c r="F198" s="29"/>
      <c r="G198" s="29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</row>
    <row r="199" spans="1:40" x14ac:dyDescent="0.2">
      <c r="A199" s="29"/>
      <c r="B199" s="20"/>
      <c r="C199" s="29"/>
      <c r="D199" s="29"/>
      <c r="E199" s="29"/>
      <c r="F199" s="29"/>
      <c r="G199" s="29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</row>
    <row r="200" spans="1:40" x14ac:dyDescent="0.2">
      <c r="A200" s="29"/>
      <c r="B200" s="20"/>
      <c r="C200" s="29"/>
      <c r="D200" s="29"/>
      <c r="E200" s="29"/>
      <c r="F200" s="29"/>
      <c r="G200" s="29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</row>
    <row r="201" spans="1:40" x14ac:dyDescent="0.2">
      <c r="A201" s="29"/>
      <c r="B201" s="20"/>
      <c r="C201" s="29"/>
      <c r="D201" s="29"/>
      <c r="E201" s="29"/>
      <c r="F201" s="29"/>
      <c r="G201" s="29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</row>
    <row r="202" spans="1:40" x14ac:dyDescent="0.2">
      <c r="A202" s="29"/>
      <c r="B202" s="20"/>
      <c r="C202" s="29"/>
      <c r="D202" s="29"/>
      <c r="E202" s="29"/>
      <c r="F202" s="29"/>
      <c r="G202" s="29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</row>
    <row r="203" spans="1:40" x14ac:dyDescent="0.2">
      <c r="A203" s="29"/>
      <c r="B203" s="20"/>
      <c r="C203" s="29"/>
      <c r="D203" s="29"/>
      <c r="E203" s="29"/>
      <c r="F203" s="29"/>
      <c r="G203" s="29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</row>
    <row r="204" spans="1:40" x14ac:dyDescent="0.2">
      <c r="A204" s="29"/>
      <c r="B204" s="20"/>
      <c r="C204" s="29"/>
      <c r="D204" s="29"/>
      <c r="E204" s="29"/>
      <c r="F204" s="29"/>
      <c r="G204" s="29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</row>
    <row r="205" spans="1:40" x14ac:dyDescent="0.2">
      <c r="A205" s="29"/>
      <c r="B205" s="20"/>
      <c r="C205" s="29"/>
      <c r="D205" s="29"/>
      <c r="E205" s="29"/>
      <c r="F205" s="29"/>
      <c r="G205" s="29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</row>
    <row r="206" spans="1:40" x14ac:dyDescent="0.2">
      <c r="A206" s="29"/>
      <c r="B206" s="20"/>
      <c r="C206" s="29"/>
      <c r="D206" s="29"/>
      <c r="E206" s="29"/>
      <c r="F206" s="29"/>
      <c r="G206" s="29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</row>
    <row r="207" spans="1:40" x14ac:dyDescent="0.2">
      <c r="A207" s="29"/>
      <c r="B207" s="20"/>
      <c r="C207" s="29"/>
      <c r="D207" s="29"/>
      <c r="E207" s="29"/>
      <c r="F207" s="29"/>
      <c r="G207" s="29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</row>
    <row r="208" spans="1:40" x14ac:dyDescent="0.2">
      <c r="A208" s="29"/>
      <c r="B208" s="20"/>
      <c r="C208" s="29"/>
      <c r="D208" s="29"/>
      <c r="E208" s="29"/>
      <c r="F208" s="29"/>
      <c r="G208" s="29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</row>
    <row r="209" spans="1:40" x14ac:dyDescent="0.2">
      <c r="A209" s="29"/>
      <c r="B209" s="20"/>
      <c r="C209" s="29"/>
      <c r="D209" s="29"/>
      <c r="E209" s="29"/>
      <c r="F209" s="29"/>
      <c r="G209" s="29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</row>
    <row r="210" spans="1:40" x14ac:dyDescent="0.2">
      <c r="A210" s="29"/>
      <c r="B210" s="20"/>
      <c r="C210" s="29"/>
      <c r="D210" s="29"/>
      <c r="E210" s="29"/>
      <c r="F210" s="29"/>
      <c r="G210" s="29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</row>
    <row r="211" spans="1:40" x14ac:dyDescent="0.2">
      <c r="A211" s="29"/>
      <c r="B211" s="20"/>
      <c r="C211" s="29"/>
      <c r="D211" s="29"/>
      <c r="E211" s="29"/>
      <c r="F211" s="29"/>
      <c r="G211" s="29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</row>
    <row r="212" spans="1:40" x14ac:dyDescent="0.2">
      <c r="A212" s="29"/>
      <c r="B212" s="20"/>
      <c r="C212" s="29"/>
      <c r="D212" s="29"/>
      <c r="E212" s="29"/>
      <c r="F212" s="29"/>
      <c r="G212" s="29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</row>
    <row r="213" spans="1:40" x14ac:dyDescent="0.2">
      <c r="A213" s="29"/>
      <c r="B213" s="20"/>
      <c r="C213" s="29"/>
      <c r="D213" s="29"/>
      <c r="E213" s="29"/>
      <c r="F213" s="29"/>
      <c r="G213" s="29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</row>
    <row r="214" spans="1:40" x14ac:dyDescent="0.2">
      <c r="A214" s="29"/>
      <c r="B214" s="20"/>
      <c r="C214" s="29"/>
      <c r="D214" s="29"/>
      <c r="E214" s="29"/>
      <c r="F214" s="29"/>
      <c r="G214" s="29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</row>
    <row r="215" spans="1:40" x14ac:dyDescent="0.2">
      <c r="A215" s="29"/>
      <c r="B215" s="20"/>
      <c r="C215" s="29"/>
      <c r="D215" s="29"/>
      <c r="E215" s="29"/>
      <c r="F215" s="29"/>
      <c r="G215" s="29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</row>
    <row r="216" spans="1:40" x14ac:dyDescent="0.2">
      <c r="A216" s="29"/>
      <c r="B216" s="20"/>
      <c r="C216" s="29"/>
      <c r="D216" s="29"/>
      <c r="E216" s="29"/>
      <c r="F216" s="29"/>
      <c r="G216" s="29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</row>
    <row r="217" spans="1:40" x14ac:dyDescent="0.2">
      <c r="A217" s="29"/>
      <c r="B217" s="20"/>
      <c r="C217" s="29"/>
      <c r="D217" s="29"/>
      <c r="E217" s="29"/>
      <c r="F217" s="29"/>
      <c r="G217" s="29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</row>
    <row r="218" spans="1:40" x14ac:dyDescent="0.2">
      <c r="A218" s="29"/>
      <c r="B218" s="20"/>
      <c r="C218" s="29"/>
      <c r="D218" s="29"/>
      <c r="E218" s="29"/>
      <c r="F218" s="29"/>
      <c r="G218" s="29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</row>
    <row r="219" spans="1:40" x14ac:dyDescent="0.2">
      <c r="A219" s="29"/>
      <c r="B219" s="20"/>
      <c r="C219" s="29"/>
      <c r="D219" s="29"/>
      <c r="E219" s="29"/>
      <c r="F219" s="29"/>
      <c r="G219" s="29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</row>
    <row r="220" spans="1:40" x14ac:dyDescent="0.2">
      <c r="A220" s="29"/>
      <c r="B220" s="20"/>
      <c r="C220" s="29"/>
      <c r="D220" s="29"/>
      <c r="E220" s="29"/>
      <c r="F220" s="29"/>
      <c r="G220" s="29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</row>
    <row r="221" spans="1:40" x14ac:dyDescent="0.2">
      <c r="A221" s="29"/>
      <c r="B221" s="20"/>
      <c r="C221" s="29"/>
      <c r="D221" s="29"/>
      <c r="E221" s="29"/>
      <c r="F221" s="29"/>
      <c r="G221" s="29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</row>
    <row r="222" spans="1:40" x14ac:dyDescent="0.2">
      <c r="A222" s="29"/>
      <c r="B222" s="20"/>
      <c r="C222" s="29"/>
      <c r="D222" s="29"/>
      <c r="E222" s="29"/>
      <c r="F222" s="29"/>
      <c r="G222" s="29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</row>
    <row r="223" spans="1:40" x14ac:dyDescent="0.2">
      <c r="A223" s="29"/>
      <c r="B223" s="20"/>
      <c r="C223" s="29"/>
      <c r="D223" s="29"/>
      <c r="E223" s="29"/>
      <c r="F223" s="29"/>
      <c r="G223" s="29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</row>
    <row r="224" spans="1:40" x14ac:dyDescent="0.2">
      <c r="A224" s="29"/>
      <c r="B224" s="20"/>
      <c r="C224" s="29"/>
      <c r="D224" s="29"/>
      <c r="E224" s="29"/>
      <c r="F224" s="29"/>
      <c r="G224" s="29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</row>
    <row r="225" spans="1:40" x14ac:dyDescent="0.2">
      <c r="A225" s="29"/>
      <c r="B225" s="20"/>
      <c r="C225" s="29"/>
      <c r="D225" s="29"/>
      <c r="E225" s="29"/>
      <c r="F225" s="29"/>
      <c r="G225" s="29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</row>
    <row r="226" spans="1:40" x14ac:dyDescent="0.2">
      <c r="A226" s="29"/>
      <c r="B226" s="20"/>
      <c r="C226" s="29"/>
      <c r="D226" s="29"/>
      <c r="E226" s="29"/>
      <c r="F226" s="29"/>
      <c r="G226" s="29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</row>
    <row r="227" spans="1:40" x14ac:dyDescent="0.2">
      <c r="A227" s="29"/>
      <c r="B227" s="20"/>
      <c r="C227" s="29"/>
      <c r="D227" s="29"/>
      <c r="E227" s="29"/>
      <c r="F227" s="29"/>
      <c r="G227" s="29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</row>
    <row r="228" spans="1:40" x14ac:dyDescent="0.2">
      <c r="A228" s="29"/>
      <c r="B228" s="20"/>
      <c r="C228" s="29"/>
      <c r="D228" s="29"/>
      <c r="E228" s="29"/>
      <c r="F228" s="29"/>
      <c r="G228" s="29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</row>
    <row r="229" spans="1:40" x14ac:dyDescent="0.2">
      <c r="A229" s="29"/>
      <c r="B229" s="20"/>
      <c r="C229" s="29"/>
      <c r="D229" s="29"/>
      <c r="E229" s="29"/>
      <c r="F229" s="29"/>
      <c r="G229" s="29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</row>
    <row r="230" spans="1:40" x14ac:dyDescent="0.2">
      <c r="A230" s="29"/>
      <c r="B230" s="20"/>
      <c r="C230" s="29"/>
      <c r="D230" s="29"/>
      <c r="E230" s="29"/>
      <c r="F230" s="29"/>
      <c r="G230" s="29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</row>
    <row r="231" spans="1:40" x14ac:dyDescent="0.2">
      <c r="A231" s="29"/>
      <c r="B231" s="20"/>
      <c r="C231" s="29"/>
      <c r="D231" s="29"/>
      <c r="E231" s="29"/>
      <c r="F231" s="29"/>
      <c r="G231" s="29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</row>
    <row r="232" spans="1:40" x14ac:dyDescent="0.2">
      <c r="A232" s="29"/>
      <c r="B232" s="20"/>
      <c r="C232" s="29"/>
      <c r="D232" s="29"/>
      <c r="E232" s="29"/>
      <c r="F232" s="29"/>
      <c r="G232" s="29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</row>
    <row r="233" spans="1:40" x14ac:dyDescent="0.2">
      <c r="A233" s="29"/>
      <c r="B233" s="20"/>
      <c r="C233" s="29"/>
      <c r="D233" s="29"/>
      <c r="E233" s="29"/>
      <c r="F233" s="29"/>
      <c r="G233" s="29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</row>
    <row r="234" spans="1:40" x14ac:dyDescent="0.2">
      <c r="A234" s="29"/>
      <c r="B234" s="20"/>
      <c r="C234" s="29"/>
      <c r="D234" s="29"/>
      <c r="E234" s="29"/>
      <c r="F234" s="29"/>
      <c r="G234" s="29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</row>
    <row r="235" spans="1:40" x14ac:dyDescent="0.2">
      <c r="A235" s="29"/>
      <c r="B235" s="20"/>
      <c r="C235" s="29"/>
      <c r="D235" s="29"/>
      <c r="E235" s="29"/>
      <c r="F235" s="29"/>
      <c r="G235" s="29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</row>
    <row r="236" spans="1:40" x14ac:dyDescent="0.2">
      <c r="A236" s="29"/>
      <c r="B236" s="20"/>
      <c r="C236" s="29"/>
      <c r="D236" s="29"/>
      <c r="E236" s="29"/>
      <c r="F236" s="29"/>
      <c r="G236" s="29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</row>
    <row r="237" spans="1:40" x14ac:dyDescent="0.2">
      <c r="A237" s="29"/>
      <c r="B237" s="20"/>
      <c r="C237" s="29"/>
      <c r="D237" s="29"/>
      <c r="E237" s="29"/>
      <c r="F237" s="29"/>
      <c r="G237" s="29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</row>
    <row r="238" spans="1:40" x14ac:dyDescent="0.2">
      <c r="A238" s="29"/>
      <c r="B238" s="20"/>
      <c r="C238" s="29"/>
      <c r="D238" s="29"/>
      <c r="E238" s="29"/>
      <c r="F238" s="29"/>
      <c r="G238" s="29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</row>
    <row r="239" spans="1:40" x14ac:dyDescent="0.2">
      <c r="A239" s="29"/>
      <c r="B239" s="20"/>
      <c r="C239" s="29"/>
      <c r="D239" s="29"/>
      <c r="E239" s="29"/>
      <c r="F239" s="29"/>
      <c r="G239" s="29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</row>
    <row r="240" spans="1:40" x14ac:dyDescent="0.2">
      <c r="A240" s="29"/>
      <c r="B240" s="20"/>
      <c r="C240" s="29"/>
      <c r="D240" s="29"/>
      <c r="E240" s="29"/>
      <c r="F240" s="29"/>
      <c r="G240" s="29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</row>
    <row r="241" spans="1:40" x14ac:dyDescent="0.2">
      <c r="A241" s="29"/>
      <c r="B241" s="20"/>
      <c r="C241" s="29"/>
      <c r="D241" s="29"/>
      <c r="E241" s="29"/>
      <c r="F241" s="29"/>
      <c r="G241" s="29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</row>
    <row r="242" spans="1:40" x14ac:dyDescent="0.2">
      <c r="A242" s="29"/>
      <c r="B242" s="20"/>
      <c r="C242" s="29"/>
      <c r="D242" s="29"/>
      <c r="E242" s="29"/>
      <c r="F242" s="29"/>
      <c r="G242" s="29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</row>
    <row r="243" spans="1:40" x14ac:dyDescent="0.2">
      <c r="A243" s="29"/>
      <c r="B243" s="20"/>
      <c r="C243" s="29"/>
      <c r="D243" s="29"/>
      <c r="E243" s="29"/>
      <c r="F243" s="29"/>
      <c r="G243" s="29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</row>
    <row r="244" spans="1:40" x14ac:dyDescent="0.2">
      <c r="A244" s="29"/>
      <c r="B244" s="20"/>
      <c r="C244" s="29"/>
      <c r="D244" s="29"/>
      <c r="E244" s="29"/>
      <c r="F244" s="29"/>
      <c r="G244" s="29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</row>
    <row r="245" spans="1:40" x14ac:dyDescent="0.2">
      <c r="A245" s="29"/>
      <c r="B245" s="20"/>
      <c r="C245" s="29"/>
      <c r="D245" s="29"/>
      <c r="E245" s="29"/>
      <c r="F245" s="29"/>
      <c r="G245" s="29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</row>
    <row r="246" spans="1:40" x14ac:dyDescent="0.2">
      <c r="A246" s="29"/>
      <c r="B246" s="20"/>
      <c r="C246" s="29"/>
      <c r="D246" s="29"/>
      <c r="E246" s="29"/>
      <c r="F246" s="29"/>
      <c r="G246" s="29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</row>
    <row r="247" spans="1:40" x14ac:dyDescent="0.2">
      <c r="A247" s="29"/>
      <c r="B247" s="20"/>
      <c r="C247" s="29"/>
      <c r="D247" s="29"/>
      <c r="E247" s="29"/>
      <c r="F247" s="29"/>
      <c r="G247" s="29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</row>
    <row r="248" spans="1:40" x14ac:dyDescent="0.2">
      <c r="A248" s="29"/>
      <c r="B248" s="20"/>
      <c r="C248" s="29"/>
      <c r="D248" s="29"/>
      <c r="E248" s="29"/>
      <c r="F248" s="29"/>
      <c r="G248" s="29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</row>
    <row r="249" spans="1:40" x14ac:dyDescent="0.2">
      <c r="A249" s="29"/>
      <c r="B249" s="20"/>
      <c r="C249" s="29"/>
      <c r="D249" s="29"/>
      <c r="E249" s="29"/>
      <c r="F249" s="29"/>
      <c r="G249" s="29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</row>
    <row r="250" spans="1:40" x14ac:dyDescent="0.2">
      <c r="A250" s="29"/>
      <c r="B250" s="20"/>
      <c r="C250" s="29"/>
      <c r="D250" s="29"/>
      <c r="E250" s="29"/>
      <c r="F250" s="29"/>
      <c r="G250" s="29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</row>
    <row r="251" spans="1:40" x14ac:dyDescent="0.2">
      <c r="A251" s="29"/>
      <c r="B251" s="20"/>
      <c r="C251" s="29"/>
      <c r="D251" s="29"/>
      <c r="E251" s="29"/>
      <c r="F251" s="29"/>
      <c r="G251" s="29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</row>
    <row r="252" spans="1:40" x14ac:dyDescent="0.2">
      <c r="A252" s="29"/>
      <c r="B252" s="20"/>
      <c r="C252" s="29"/>
      <c r="D252" s="29"/>
      <c r="E252" s="29"/>
      <c r="F252" s="29"/>
      <c r="G252" s="29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</row>
    <row r="253" spans="1:40" x14ac:dyDescent="0.2">
      <c r="A253" s="29"/>
      <c r="B253" s="20"/>
      <c r="C253" s="29"/>
      <c r="D253" s="29"/>
      <c r="E253" s="29"/>
      <c r="F253" s="29"/>
      <c r="G253" s="29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</row>
    <row r="254" spans="1:40" x14ac:dyDescent="0.2">
      <c r="A254" s="29"/>
      <c r="B254" s="20"/>
      <c r="C254" s="29"/>
      <c r="D254" s="29"/>
      <c r="E254" s="29"/>
      <c r="F254" s="29"/>
      <c r="G254" s="29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</row>
    <row r="255" spans="1:40" x14ac:dyDescent="0.2">
      <c r="A255" s="29"/>
      <c r="B255" s="20"/>
      <c r="C255" s="29"/>
      <c r="D255" s="29"/>
      <c r="E255" s="29"/>
      <c r="F255" s="29"/>
      <c r="G255" s="29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</row>
    <row r="256" spans="1:40" x14ac:dyDescent="0.2">
      <c r="A256" s="29"/>
      <c r="B256" s="20"/>
      <c r="C256" s="29"/>
      <c r="D256" s="29"/>
      <c r="E256" s="29"/>
      <c r="F256" s="29"/>
      <c r="G256" s="29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</row>
    <row r="257" spans="1:40" x14ac:dyDescent="0.2">
      <c r="A257" s="29"/>
      <c r="B257" s="20"/>
      <c r="C257" s="29"/>
      <c r="D257" s="29"/>
      <c r="E257" s="29"/>
      <c r="F257" s="29"/>
      <c r="G257" s="29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</row>
    <row r="258" spans="1:40" x14ac:dyDescent="0.2">
      <c r="A258" s="29"/>
      <c r="B258" s="20"/>
      <c r="C258" s="29"/>
      <c r="D258" s="29"/>
      <c r="E258" s="29"/>
      <c r="F258" s="29"/>
      <c r="G258" s="29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</row>
    <row r="259" spans="1:40" x14ac:dyDescent="0.2">
      <c r="A259" s="29"/>
      <c r="B259" s="20"/>
      <c r="C259" s="29"/>
      <c r="D259" s="29"/>
      <c r="E259" s="29"/>
      <c r="F259" s="29"/>
      <c r="G259" s="29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</row>
    <row r="260" spans="1:40" x14ac:dyDescent="0.2">
      <c r="A260" s="29"/>
      <c r="B260" s="20"/>
      <c r="C260" s="29"/>
      <c r="D260" s="29"/>
      <c r="E260" s="29"/>
      <c r="F260" s="29"/>
      <c r="G260" s="29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</row>
    <row r="261" spans="1:40" x14ac:dyDescent="0.2">
      <c r="A261" s="29"/>
      <c r="B261" s="20"/>
      <c r="C261" s="29"/>
      <c r="D261" s="29"/>
      <c r="E261" s="29"/>
      <c r="F261" s="29"/>
      <c r="G261" s="29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</row>
    <row r="262" spans="1:40" x14ac:dyDescent="0.2">
      <c r="A262" s="29"/>
      <c r="B262" s="20"/>
      <c r="C262" s="29"/>
      <c r="D262" s="29"/>
      <c r="E262" s="29"/>
      <c r="F262" s="29"/>
      <c r="G262" s="29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</row>
    <row r="263" spans="1:40" x14ac:dyDescent="0.2">
      <c r="A263" s="29"/>
      <c r="B263" s="20"/>
      <c r="C263" s="29"/>
      <c r="D263" s="29"/>
      <c r="E263" s="29"/>
      <c r="F263" s="29"/>
      <c r="G263" s="29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</row>
    <row r="264" spans="1:40" x14ac:dyDescent="0.2">
      <c r="A264" s="29"/>
      <c r="B264" s="20"/>
      <c r="C264" s="29"/>
      <c r="D264" s="29"/>
      <c r="E264" s="29"/>
      <c r="F264" s="29"/>
      <c r="G264" s="29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</row>
    <row r="265" spans="1:40" x14ac:dyDescent="0.2">
      <c r="A265" s="29"/>
      <c r="B265" s="20"/>
      <c r="C265" s="29"/>
      <c r="D265" s="29"/>
      <c r="E265" s="29"/>
      <c r="F265" s="29"/>
      <c r="G265" s="29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</row>
    <row r="266" spans="1:40" x14ac:dyDescent="0.2">
      <c r="A266" s="29"/>
      <c r="B266" s="20"/>
      <c r="C266" s="29"/>
      <c r="D266" s="29"/>
      <c r="E266" s="29"/>
      <c r="F266" s="29"/>
      <c r="G266" s="29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</row>
    <row r="267" spans="1:40" x14ac:dyDescent="0.2">
      <c r="A267" s="29"/>
      <c r="B267" s="20"/>
      <c r="C267" s="29"/>
      <c r="D267" s="29"/>
      <c r="E267" s="29"/>
      <c r="F267" s="29"/>
      <c r="G267" s="29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</row>
    <row r="268" spans="1:40" x14ac:dyDescent="0.2">
      <c r="A268" s="29"/>
      <c r="B268" s="20"/>
      <c r="C268" s="29"/>
      <c r="D268" s="29"/>
      <c r="E268" s="29"/>
      <c r="F268" s="29"/>
      <c r="G268" s="29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</row>
    <row r="269" spans="1:40" x14ac:dyDescent="0.2">
      <c r="A269" s="29"/>
      <c r="B269" s="20"/>
      <c r="C269" s="29"/>
      <c r="D269" s="29"/>
      <c r="E269" s="29"/>
      <c r="F269" s="29"/>
      <c r="G269" s="29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</row>
    <row r="270" spans="1:40" x14ac:dyDescent="0.2">
      <c r="A270" s="29"/>
      <c r="B270" s="20"/>
      <c r="C270" s="29"/>
      <c r="D270" s="29"/>
      <c r="E270" s="29"/>
      <c r="F270" s="29"/>
      <c r="G270" s="29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</row>
    <row r="271" spans="1:40" x14ac:dyDescent="0.2">
      <c r="A271" s="29"/>
      <c r="B271" s="20"/>
      <c r="C271" s="29"/>
      <c r="D271" s="29"/>
      <c r="E271" s="29"/>
      <c r="F271" s="29"/>
      <c r="G271" s="29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</row>
    <row r="272" spans="1:40" x14ac:dyDescent="0.2">
      <c r="A272" s="29"/>
      <c r="B272" s="20"/>
      <c r="C272" s="29"/>
      <c r="D272" s="29"/>
      <c r="E272" s="29"/>
      <c r="F272" s="29"/>
      <c r="G272" s="29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</row>
    <row r="273" spans="1:40" x14ac:dyDescent="0.2">
      <c r="A273" s="29"/>
      <c r="B273" s="20"/>
      <c r="C273" s="29"/>
      <c r="D273" s="29"/>
      <c r="E273" s="29"/>
      <c r="F273" s="29"/>
      <c r="G273" s="29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</row>
    <row r="274" spans="1:40" x14ac:dyDescent="0.2">
      <c r="A274" s="29"/>
      <c r="B274" s="20"/>
      <c r="C274" s="29"/>
      <c r="D274" s="29"/>
      <c r="E274" s="29"/>
      <c r="F274" s="29"/>
      <c r="G274" s="29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</row>
    <row r="275" spans="1:40" x14ac:dyDescent="0.2">
      <c r="A275" s="29"/>
      <c r="B275" s="20"/>
      <c r="C275" s="29"/>
      <c r="D275" s="29"/>
      <c r="E275" s="29"/>
      <c r="F275" s="29"/>
      <c r="G275" s="29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</row>
    <row r="276" spans="1:40" x14ac:dyDescent="0.2">
      <c r="A276" s="29"/>
      <c r="B276" s="20"/>
      <c r="C276" s="29"/>
      <c r="D276" s="29"/>
      <c r="E276" s="29"/>
      <c r="F276" s="29"/>
      <c r="G276" s="29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</row>
    <row r="277" spans="1:40" x14ac:dyDescent="0.2">
      <c r="A277" s="29"/>
      <c r="B277" s="20"/>
      <c r="C277" s="29"/>
      <c r="D277" s="29"/>
      <c r="E277" s="29"/>
      <c r="F277" s="29"/>
      <c r="G277" s="29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</row>
    <row r="278" spans="1:40" x14ac:dyDescent="0.2">
      <c r="A278" s="29"/>
      <c r="B278" s="20"/>
      <c r="C278" s="29"/>
      <c r="D278" s="29"/>
      <c r="E278" s="29"/>
      <c r="F278" s="29"/>
      <c r="G278" s="29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</row>
    <row r="279" spans="1:40" x14ac:dyDescent="0.2">
      <c r="A279" s="29"/>
      <c r="B279" s="20"/>
      <c r="C279" s="29"/>
      <c r="D279" s="29"/>
      <c r="E279" s="29"/>
      <c r="F279" s="29"/>
      <c r="G279" s="29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</row>
    <row r="280" spans="1:40" x14ac:dyDescent="0.2">
      <c r="A280" s="29"/>
      <c r="B280" s="20"/>
      <c r="C280" s="29"/>
      <c r="D280" s="29"/>
      <c r="E280" s="29"/>
      <c r="F280" s="29"/>
      <c r="G280" s="29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</row>
    <row r="281" spans="1:40" x14ac:dyDescent="0.2">
      <c r="A281" s="29"/>
      <c r="B281" s="20"/>
      <c r="C281" s="29"/>
      <c r="D281" s="29"/>
      <c r="E281" s="29"/>
      <c r="F281" s="29"/>
      <c r="G281" s="29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</row>
    <row r="282" spans="1:40" x14ac:dyDescent="0.2">
      <c r="A282" s="29"/>
      <c r="B282" s="20"/>
      <c r="C282" s="29"/>
      <c r="D282" s="29"/>
      <c r="E282" s="29"/>
      <c r="F282" s="29"/>
      <c r="G282" s="29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</row>
    <row r="283" spans="1:40" x14ac:dyDescent="0.2">
      <c r="A283" s="29"/>
      <c r="B283" s="20"/>
      <c r="C283" s="29"/>
      <c r="D283" s="29"/>
      <c r="E283" s="29"/>
      <c r="F283" s="29"/>
      <c r="G283" s="29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</row>
    <row r="284" spans="1:40" x14ac:dyDescent="0.2">
      <c r="A284" s="29"/>
      <c r="B284" s="20"/>
      <c r="C284" s="29"/>
      <c r="D284" s="29"/>
      <c r="E284" s="29"/>
      <c r="F284" s="29"/>
      <c r="G284" s="29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</row>
    <row r="285" spans="1:40" x14ac:dyDescent="0.2">
      <c r="A285" s="29"/>
      <c r="B285" s="20"/>
      <c r="C285" s="29"/>
      <c r="D285" s="29"/>
      <c r="E285" s="29"/>
      <c r="F285" s="29"/>
      <c r="G285" s="29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</row>
    <row r="286" spans="1:40" x14ac:dyDescent="0.2">
      <c r="A286" s="29"/>
      <c r="B286" s="20"/>
      <c r="C286" s="29"/>
      <c r="D286" s="29"/>
      <c r="E286" s="29"/>
      <c r="F286" s="29"/>
      <c r="G286" s="29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</row>
    <row r="287" spans="1:40" x14ac:dyDescent="0.2">
      <c r="A287" s="29"/>
      <c r="B287" s="20"/>
      <c r="C287" s="29"/>
      <c r="D287" s="29"/>
      <c r="E287" s="29"/>
      <c r="F287" s="29"/>
      <c r="G287" s="29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</row>
    <row r="288" spans="1:40" x14ac:dyDescent="0.2">
      <c r="A288" s="29"/>
      <c r="B288" s="20"/>
      <c r="C288" s="29"/>
      <c r="D288" s="29"/>
      <c r="E288" s="29"/>
      <c r="F288" s="29"/>
      <c r="G288" s="29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</row>
    <row r="289" spans="1:40" x14ac:dyDescent="0.2">
      <c r="A289" s="29"/>
      <c r="B289" s="20"/>
      <c r="C289" s="29"/>
      <c r="D289" s="29"/>
      <c r="E289" s="29"/>
      <c r="F289" s="29"/>
      <c r="G289" s="29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</row>
    <row r="290" spans="1:40" x14ac:dyDescent="0.2">
      <c r="A290" s="29"/>
      <c r="B290" s="20"/>
      <c r="C290" s="29"/>
      <c r="D290" s="29"/>
      <c r="E290" s="29"/>
      <c r="F290" s="29"/>
      <c r="G290" s="29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</row>
    <row r="291" spans="1:40" x14ac:dyDescent="0.2">
      <c r="A291" s="29"/>
      <c r="B291" s="20"/>
      <c r="C291" s="29"/>
      <c r="D291" s="29"/>
      <c r="E291" s="29"/>
      <c r="F291" s="29"/>
      <c r="G291" s="29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</row>
    <row r="292" spans="1:40" x14ac:dyDescent="0.2">
      <c r="A292" s="29"/>
      <c r="B292" s="20"/>
      <c r="C292" s="29"/>
      <c r="D292" s="29"/>
      <c r="E292" s="29"/>
      <c r="F292" s="29"/>
      <c r="G292" s="29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</row>
    <row r="293" spans="1:40" x14ac:dyDescent="0.2">
      <c r="A293" s="29"/>
      <c r="B293" s="20"/>
      <c r="C293" s="29"/>
      <c r="D293" s="29"/>
      <c r="E293" s="29"/>
      <c r="F293" s="29"/>
      <c r="G293" s="29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</row>
    <row r="294" spans="1:40" x14ac:dyDescent="0.2">
      <c r="A294" s="29"/>
      <c r="B294" s="20"/>
      <c r="C294" s="29"/>
      <c r="D294" s="29"/>
      <c r="E294" s="29"/>
      <c r="F294" s="29"/>
      <c r="G294" s="29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</row>
    <row r="295" spans="1:40" x14ac:dyDescent="0.2">
      <c r="A295" s="29"/>
      <c r="B295" s="20"/>
      <c r="C295" s="29"/>
      <c r="D295" s="29"/>
      <c r="E295" s="29"/>
      <c r="F295" s="29"/>
      <c r="G295" s="29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</row>
    <row r="296" spans="1:40" x14ac:dyDescent="0.2">
      <c r="A296" s="29"/>
      <c r="B296" s="20"/>
      <c r="C296" s="29"/>
      <c r="D296" s="29"/>
      <c r="E296" s="29"/>
      <c r="F296" s="29"/>
      <c r="G296" s="29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</row>
    <row r="297" spans="1:40" x14ac:dyDescent="0.2">
      <c r="A297" s="29"/>
      <c r="B297" s="20"/>
      <c r="C297" s="29"/>
      <c r="D297" s="29"/>
      <c r="E297" s="29"/>
      <c r="F297" s="29"/>
      <c r="G297" s="29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</row>
    <row r="298" spans="1:40" x14ac:dyDescent="0.2">
      <c r="A298" s="29"/>
      <c r="B298" s="20"/>
      <c r="C298" s="29"/>
      <c r="D298" s="29"/>
      <c r="E298" s="29"/>
      <c r="F298" s="29"/>
      <c r="G298" s="29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</row>
    <row r="299" spans="1:40" x14ac:dyDescent="0.2">
      <c r="A299" s="29"/>
      <c r="B299" s="20"/>
      <c r="C299" s="29"/>
      <c r="D299" s="29"/>
      <c r="E299" s="29"/>
      <c r="F299" s="29"/>
      <c r="G299" s="29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</row>
    <row r="300" spans="1:40" x14ac:dyDescent="0.2">
      <c r="A300" s="29"/>
      <c r="B300" s="20"/>
      <c r="C300" s="29"/>
      <c r="D300" s="29"/>
      <c r="E300" s="29"/>
      <c r="F300" s="29"/>
      <c r="G300" s="29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</row>
    <row r="301" spans="1:40" x14ac:dyDescent="0.2">
      <c r="A301" s="29"/>
      <c r="B301" s="20"/>
      <c r="C301" s="29"/>
      <c r="D301" s="29"/>
      <c r="E301" s="29"/>
      <c r="F301" s="29"/>
      <c r="G301" s="29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</row>
    <row r="302" spans="1:40" x14ac:dyDescent="0.2">
      <c r="A302" s="29"/>
      <c r="B302" s="20"/>
      <c r="C302" s="29"/>
      <c r="D302" s="29"/>
      <c r="E302" s="29"/>
      <c r="F302" s="29"/>
      <c r="G302" s="29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</row>
    <row r="303" spans="1:40" x14ac:dyDescent="0.2">
      <c r="A303" s="29"/>
      <c r="B303" s="20"/>
      <c r="C303" s="29"/>
      <c r="D303" s="29"/>
      <c r="E303" s="29"/>
      <c r="F303" s="29"/>
      <c r="G303" s="29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</row>
    <row r="304" spans="1:40" x14ac:dyDescent="0.2">
      <c r="A304" s="29"/>
      <c r="B304" s="20"/>
      <c r="C304" s="29"/>
      <c r="D304" s="29"/>
      <c r="E304" s="29"/>
      <c r="F304" s="29"/>
      <c r="G304" s="29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</row>
    <row r="305" spans="1:40" x14ac:dyDescent="0.2">
      <c r="A305" s="29"/>
      <c r="B305" s="20"/>
      <c r="C305" s="29"/>
      <c r="D305" s="29"/>
      <c r="E305" s="29"/>
      <c r="F305" s="29"/>
      <c r="G305" s="29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</row>
    <row r="306" spans="1:40" x14ac:dyDescent="0.2">
      <c r="A306" s="29"/>
      <c r="B306" s="20"/>
      <c r="C306" s="29"/>
      <c r="D306" s="29"/>
      <c r="E306" s="29"/>
      <c r="F306" s="29"/>
      <c r="G306" s="29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</row>
    <row r="307" spans="1:40" x14ac:dyDescent="0.2">
      <c r="A307" s="29"/>
      <c r="B307" s="20"/>
      <c r="C307" s="29"/>
      <c r="D307" s="29"/>
      <c r="E307" s="29"/>
      <c r="F307" s="29"/>
      <c r="G307" s="29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</row>
    <row r="308" spans="1:40" x14ac:dyDescent="0.2">
      <c r="A308" s="29"/>
      <c r="B308" s="20"/>
      <c r="C308" s="29"/>
      <c r="D308" s="29"/>
      <c r="E308" s="29"/>
      <c r="F308" s="29"/>
      <c r="G308" s="29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</row>
    <row r="309" spans="1:40" x14ac:dyDescent="0.2">
      <c r="A309" s="29"/>
      <c r="B309" s="20"/>
      <c r="C309" s="29"/>
      <c r="D309" s="29"/>
      <c r="E309" s="29"/>
      <c r="F309" s="29"/>
      <c r="G309" s="29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</row>
    <row r="310" spans="1:40" x14ac:dyDescent="0.2">
      <c r="A310" s="29"/>
      <c r="B310" s="20"/>
      <c r="C310" s="29"/>
      <c r="D310" s="29"/>
      <c r="E310" s="29"/>
      <c r="F310" s="29"/>
      <c r="G310" s="29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</row>
    <row r="311" spans="1:40" x14ac:dyDescent="0.2">
      <c r="A311" s="29"/>
      <c r="B311" s="20"/>
      <c r="C311" s="29"/>
      <c r="D311" s="29"/>
      <c r="E311" s="29"/>
      <c r="F311" s="29"/>
      <c r="G311" s="29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</row>
    <row r="312" spans="1:40" x14ac:dyDescent="0.2">
      <c r="A312" s="29"/>
      <c r="B312" s="20"/>
      <c r="C312" s="29"/>
      <c r="D312" s="29"/>
      <c r="E312" s="29"/>
      <c r="F312" s="29"/>
      <c r="G312" s="29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</row>
    <row r="313" spans="1:40" x14ac:dyDescent="0.2">
      <c r="A313" s="29"/>
      <c r="B313" s="20"/>
      <c r="C313" s="29"/>
      <c r="D313" s="29"/>
      <c r="E313" s="29"/>
      <c r="F313" s="29"/>
      <c r="G313" s="29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</row>
    <row r="314" spans="1:40" x14ac:dyDescent="0.2">
      <c r="A314" s="29"/>
      <c r="B314" s="20"/>
      <c r="C314" s="29"/>
      <c r="D314" s="29"/>
      <c r="E314" s="29"/>
      <c r="F314" s="29"/>
      <c r="G314" s="29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</row>
    <row r="315" spans="1:40" x14ac:dyDescent="0.2">
      <c r="A315" s="29"/>
      <c r="B315" s="20"/>
      <c r="C315" s="29"/>
      <c r="D315" s="29"/>
      <c r="E315" s="29"/>
      <c r="F315" s="29"/>
      <c r="G315" s="29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</row>
    <row r="316" spans="1:40" x14ac:dyDescent="0.2">
      <c r="A316" s="29"/>
      <c r="B316" s="20"/>
      <c r="C316" s="29"/>
      <c r="D316" s="29"/>
      <c r="E316" s="29"/>
      <c r="F316" s="29"/>
      <c r="G316" s="29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</row>
    <row r="317" spans="1:40" x14ac:dyDescent="0.2">
      <c r="A317" s="29"/>
      <c r="B317" s="20"/>
      <c r="C317" s="29"/>
      <c r="D317" s="29"/>
      <c r="E317" s="29"/>
      <c r="F317" s="29"/>
      <c r="G317" s="29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</row>
    <row r="318" spans="1:40" x14ac:dyDescent="0.2">
      <c r="A318" s="29"/>
      <c r="B318" s="20"/>
      <c r="C318" s="29"/>
      <c r="D318" s="29"/>
      <c r="E318" s="29"/>
      <c r="F318" s="29"/>
      <c r="G318" s="29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</row>
    <row r="319" spans="1:40" x14ac:dyDescent="0.2">
      <c r="A319" s="29"/>
      <c r="B319" s="20"/>
      <c r="C319" s="29"/>
      <c r="D319" s="29"/>
      <c r="E319" s="29"/>
      <c r="F319" s="29"/>
      <c r="G319" s="29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</row>
    <row r="320" spans="1:40" x14ac:dyDescent="0.2">
      <c r="A320" s="29"/>
      <c r="B320" s="20"/>
      <c r="C320" s="29"/>
      <c r="D320" s="29"/>
      <c r="E320" s="29"/>
      <c r="F320" s="29"/>
      <c r="G320" s="29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</row>
    <row r="321" spans="1:40" x14ac:dyDescent="0.2">
      <c r="A321" s="29"/>
      <c r="B321" s="20"/>
      <c r="C321" s="29"/>
      <c r="D321" s="29"/>
      <c r="E321" s="29"/>
      <c r="F321" s="29"/>
      <c r="G321" s="29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</row>
    <row r="322" spans="1:40" x14ac:dyDescent="0.2">
      <c r="A322" s="29"/>
      <c r="B322" s="20"/>
      <c r="C322" s="29"/>
      <c r="D322" s="29"/>
      <c r="E322" s="29"/>
      <c r="F322" s="29"/>
      <c r="G322" s="29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</row>
    <row r="323" spans="1:40" x14ac:dyDescent="0.2">
      <c r="A323" s="29"/>
      <c r="B323" s="20"/>
      <c r="C323" s="29"/>
      <c r="D323" s="29"/>
      <c r="E323" s="29"/>
      <c r="F323" s="29"/>
      <c r="G323" s="29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</row>
    <row r="324" spans="1:40" x14ac:dyDescent="0.2">
      <c r="A324" s="29"/>
      <c r="B324" s="20"/>
      <c r="C324" s="29"/>
      <c r="D324" s="29"/>
      <c r="E324" s="29"/>
      <c r="F324" s="29"/>
      <c r="G324" s="29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</row>
    <row r="325" spans="1:40" x14ac:dyDescent="0.2">
      <c r="A325" s="29"/>
      <c r="B325" s="20"/>
      <c r="C325" s="29"/>
      <c r="D325" s="29"/>
      <c r="E325" s="29"/>
      <c r="F325" s="29"/>
      <c r="G325" s="29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</row>
    <row r="326" spans="1:40" x14ac:dyDescent="0.2">
      <c r="A326" s="29"/>
      <c r="B326" s="20"/>
      <c r="C326" s="29"/>
      <c r="D326" s="29"/>
      <c r="E326" s="29"/>
      <c r="F326" s="29"/>
      <c r="G326" s="29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</row>
    <row r="327" spans="1:40" x14ac:dyDescent="0.2">
      <c r="A327" s="29"/>
      <c r="B327" s="20"/>
      <c r="C327" s="29"/>
      <c r="D327" s="29"/>
      <c r="E327" s="29"/>
      <c r="F327" s="29"/>
      <c r="G327" s="29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</row>
    <row r="328" spans="1:40" x14ac:dyDescent="0.2">
      <c r="A328" s="29"/>
      <c r="B328" s="20"/>
      <c r="C328" s="29"/>
      <c r="D328" s="29"/>
      <c r="E328" s="29"/>
      <c r="F328" s="29"/>
      <c r="G328" s="29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</row>
    <row r="329" spans="1:40" x14ac:dyDescent="0.2">
      <c r="A329" s="29"/>
      <c r="B329" s="20"/>
      <c r="C329" s="29"/>
      <c r="D329" s="29"/>
      <c r="E329" s="29"/>
      <c r="F329" s="29"/>
      <c r="G329" s="29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</row>
    <row r="330" spans="1:40" x14ac:dyDescent="0.2">
      <c r="A330" s="29"/>
      <c r="B330" s="20"/>
      <c r="C330" s="29"/>
      <c r="D330" s="29"/>
      <c r="E330" s="29"/>
      <c r="F330" s="29"/>
      <c r="G330" s="29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</row>
    <row r="331" spans="1:40" x14ac:dyDescent="0.2">
      <c r="A331" s="29"/>
      <c r="B331" s="20"/>
      <c r="C331" s="29"/>
      <c r="D331" s="29"/>
      <c r="E331" s="29"/>
      <c r="F331" s="29"/>
      <c r="G331" s="29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</row>
    <row r="332" spans="1:40" x14ac:dyDescent="0.2">
      <c r="A332" s="29"/>
      <c r="B332" s="20"/>
      <c r="C332" s="29"/>
      <c r="D332" s="29"/>
      <c r="E332" s="29"/>
      <c r="F332" s="29"/>
      <c r="G332" s="29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</row>
    <row r="333" spans="1:40" x14ac:dyDescent="0.2">
      <c r="A333" s="29"/>
      <c r="B333" s="20"/>
      <c r="C333" s="29"/>
      <c r="D333" s="29"/>
      <c r="E333" s="29"/>
      <c r="F333" s="29"/>
      <c r="G333" s="29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</row>
    <row r="334" spans="1:40" x14ac:dyDescent="0.2">
      <c r="A334" s="29"/>
      <c r="B334" s="20"/>
      <c r="C334" s="29"/>
      <c r="D334" s="29"/>
      <c r="E334" s="29"/>
      <c r="F334" s="29"/>
      <c r="G334" s="29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</row>
    <row r="335" spans="1:40" x14ac:dyDescent="0.2">
      <c r="A335" s="29"/>
      <c r="B335" s="20"/>
      <c r="C335" s="29"/>
      <c r="D335" s="29"/>
      <c r="E335" s="29"/>
      <c r="F335" s="29"/>
      <c r="G335" s="29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</row>
    <row r="336" spans="1:40" x14ac:dyDescent="0.2">
      <c r="A336" s="29"/>
      <c r="B336" s="20"/>
      <c r="C336" s="29"/>
      <c r="D336" s="29"/>
      <c r="E336" s="29"/>
      <c r="F336" s="29"/>
      <c r="G336" s="29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</row>
    <row r="337" spans="1:40" x14ac:dyDescent="0.2">
      <c r="A337" s="29"/>
      <c r="B337" s="20"/>
      <c r="C337" s="29"/>
      <c r="D337" s="29"/>
      <c r="E337" s="29"/>
      <c r="F337" s="29"/>
      <c r="G337" s="29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</row>
    <row r="338" spans="1:40" x14ac:dyDescent="0.2">
      <c r="A338" s="29"/>
      <c r="B338" s="20"/>
      <c r="C338" s="29"/>
      <c r="D338" s="29"/>
      <c r="E338" s="29"/>
      <c r="F338" s="29"/>
      <c r="G338" s="29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</row>
    <row r="339" spans="1:40" x14ac:dyDescent="0.2">
      <c r="A339" s="29"/>
      <c r="B339" s="20"/>
      <c r="C339" s="29"/>
      <c r="D339" s="29"/>
      <c r="E339" s="29"/>
      <c r="F339" s="29"/>
      <c r="G339" s="29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</row>
    <row r="340" spans="1:40" x14ac:dyDescent="0.2">
      <c r="A340" s="29"/>
      <c r="B340" s="20"/>
      <c r="C340" s="29"/>
      <c r="D340" s="29"/>
      <c r="E340" s="29"/>
      <c r="F340" s="29"/>
      <c r="G340" s="29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</row>
    <row r="341" spans="1:40" x14ac:dyDescent="0.2">
      <c r="A341" s="29"/>
      <c r="B341" s="20"/>
      <c r="C341" s="29"/>
      <c r="D341" s="29"/>
      <c r="E341" s="29"/>
      <c r="F341" s="29"/>
      <c r="G341" s="29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</row>
    <row r="342" spans="1:40" x14ac:dyDescent="0.2">
      <c r="A342" s="29"/>
      <c r="B342" s="20"/>
      <c r="C342" s="29"/>
      <c r="D342" s="29"/>
      <c r="E342" s="29"/>
      <c r="F342" s="29"/>
      <c r="G342" s="29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</row>
    <row r="343" spans="1:40" x14ac:dyDescent="0.2">
      <c r="A343" s="29"/>
      <c r="B343" s="20"/>
      <c r="C343" s="29"/>
      <c r="D343" s="29"/>
      <c r="E343" s="29"/>
      <c r="F343" s="29"/>
      <c r="G343" s="29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</row>
    <row r="344" spans="1:40" x14ac:dyDescent="0.2">
      <c r="A344" s="29"/>
      <c r="B344" s="20"/>
      <c r="C344" s="29"/>
      <c r="D344" s="29"/>
      <c r="E344" s="29"/>
      <c r="F344" s="29"/>
      <c r="G344" s="29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</row>
    <row r="345" spans="1:40" x14ac:dyDescent="0.2">
      <c r="A345" s="29"/>
      <c r="B345" s="20"/>
      <c r="C345" s="29"/>
      <c r="D345" s="29"/>
      <c r="E345" s="29"/>
      <c r="F345" s="29"/>
      <c r="G345" s="29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</row>
    <row r="346" spans="1:40" x14ac:dyDescent="0.2">
      <c r="A346" s="29"/>
      <c r="B346" s="20"/>
      <c r="C346" s="29"/>
      <c r="D346" s="29"/>
      <c r="E346" s="29"/>
      <c r="F346" s="29"/>
      <c r="G346" s="29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</row>
    <row r="347" spans="1:40" x14ac:dyDescent="0.2">
      <c r="A347" s="29"/>
      <c r="B347" s="20"/>
      <c r="C347" s="29"/>
      <c r="D347" s="29"/>
      <c r="E347" s="29"/>
      <c r="F347" s="29"/>
      <c r="G347" s="29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</row>
    <row r="348" spans="1:40" x14ac:dyDescent="0.2">
      <c r="A348" s="29"/>
      <c r="B348" s="20"/>
      <c r="C348" s="29"/>
      <c r="D348" s="29"/>
      <c r="E348" s="29"/>
      <c r="F348" s="29"/>
      <c r="G348" s="29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</row>
    <row r="349" spans="1:40" x14ac:dyDescent="0.2">
      <c r="A349" s="29"/>
      <c r="B349" s="20"/>
      <c r="C349" s="29"/>
      <c r="D349" s="29"/>
      <c r="E349" s="29"/>
      <c r="F349" s="29"/>
      <c r="G349" s="29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</row>
    <row r="350" spans="1:40" x14ac:dyDescent="0.2">
      <c r="A350" s="29"/>
      <c r="B350" s="20"/>
      <c r="C350" s="29"/>
      <c r="D350" s="29"/>
      <c r="E350" s="29"/>
      <c r="F350" s="29"/>
      <c r="G350" s="29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</row>
    <row r="351" spans="1:40" x14ac:dyDescent="0.2">
      <c r="A351" s="29"/>
      <c r="B351" s="20"/>
      <c r="C351" s="29"/>
      <c r="D351" s="29"/>
      <c r="E351" s="29"/>
      <c r="F351" s="29"/>
      <c r="G351" s="29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</row>
    <row r="352" spans="1:40" x14ac:dyDescent="0.2">
      <c r="A352" s="29"/>
      <c r="B352" s="20"/>
      <c r="C352" s="29"/>
      <c r="D352" s="29"/>
      <c r="E352" s="29"/>
      <c r="F352" s="29"/>
      <c r="G352" s="29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</row>
    <row r="353" spans="1:40" x14ac:dyDescent="0.2">
      <c r="A353" s="29"/>
      <c r="B353" s="20"/>
      <c r="C353" s="29"/>
      <c r="D353" s="29"/>
      <c r="E353" s="29"/>
      <c r="F353" s="29"/>
      <c r="G353" s="29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</row>
    <row r="354" spans="1:40" x14ac:dyDescent="0.2">
      <c r="A354" s="29"/>
      <c r="B354" s="20"/>
      <c r="C354" s="29"/>
      <c r="D354" s="29"/>
      <c r="E354" s="29"/>
      <c r="F354" s="29"/>
      <c r="G354" s="29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</row>
    <row r="355" spans="1:40" x14ac:dyDescent="0.2">
      <c r="A355" s="29"/>
      <c r="B355" s="20"/>
      <c r="C355" s="29"/>
      <c r="D355" s="29"/>
      <c r="E355" s="29"/>
      <c r="F355" s="29"/>
      <c r="G355" s="29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</row>
    <row r="356" spans="1:40" x14ac:dyDescent="0.2">
      <c r="A356" s="29"/>
      <c r="B356" s="20"/>
      <c r="C356" s="29"/>
      <c r="D356" s="29"/>
      <c r="E356" s="29"/>
      <c r="F356" s="29"/>
      <c r="G356" s="29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</row>
    <row r="357" spans="1:40" x14ac:dyDescent="0.2">
      <c r="A357" s="29"/>
      <c r="B357" s="20"/>
      <c r="C357" s="29"/>
      <c r="D357" s="29"/>
      <c r="E357" s="29"/>
      <c r="F357" s="29"/>
      <c r="G357" s="29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</row>
    <row r="358" spans="1:40" x14ac:dyDescent="0.2">
      <c r="A358" s="29"/>
      <c r="B358" s="20"/>
      <c r="C358" s="29"/>
      <c r="D358" s="29"/>
      <c r="E358" s="29"/>
      <c r="F358" s="29"/>
      <c r="G358" s="29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</row>
    <row r="359" spans="1:40" x14ac:dyDescent="0.2">
      <c r="A359" s="29"/>
      <c r="B359" s="20"/>
      <c r="C359" s="29"/>
      <c r="D359" s="29"/>
      <c r="E359" s="29"/>
      <c r="F359" s="29"/>
      <c r="G359" s="29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</row>
    <row r="360" spans="1:40" x14ac:dyDescent="0.2">
      <c r="A360" s="29"/>
      <c r="B360" s="20"/>
      <c r="C360" s="29"/>
      <c r="D360" s="29"/>
      <c r="E360" s="29"/>
      <c r="F360" s="29"/>
      <c r="G360" s="29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</row>
    <row r="361" spans="1:40" x14ac:dyDescent="0.2">
      <c r="A361" s="29"/>
      <c r="B361" s="20"/>
      <c r="C361" s="29"/>
      <c r="D361" s="29"/>
      <c r="E361" s="29"/>
      <c r="F361" s="29"/>
      <c r="G361" s="29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</row>
    <row r="362" spans="1:40" x14ac:dyDescent="0.2">
      <c r="A362" s="29"/>
      <c r="B362" s="20"/>
      <c r="C362" s="29"/>
      <c r="D362" s="29"/>
      <c r="E362" s="29"/>
      <c r="F362" s="29"/>
      <c r="G362" s="29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</row>
    <row r="363" spans="1:40" x14ac:dyDescent="0.2">
      <c r="A363" s="29"/>
      <c r="B363" s="20"/>
      <c r="C363" s="29"/>
      <c r="D363" s="29"/>
      <c r="E363" s="29"/>
      <c r="F363" s="29"/>
      <c r="G363" s="29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</row>
    <row r="364" spans="1:40" x14ac:dyDescent="0.2">
      <c r="A364" s="29"/>
      <c r="B364" s="20"/>
      <c r="C364" s="29"/>
      <c r="D364" s="29"/>
      <c r="E364" s="29"/>
      <c r="F364" s="29"/>
      <c r="G364" s="29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</row>
    <row r="365" spans="1:40" x14ac:dyDescent="0.2">
      <c r="A365" s="29"/>
      <c r="B365" s="20"/>
      <c r="C365" s="29"/>
      <c r="D365" s="29"/>
      <c r="E365" s="29"/>
      <c r="F365" s="29"/>
      <c r="G365" s="29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</row>
    <row r="366" spans="1:40" x14ac:dyDescent="0.2">
      <c r="A366" s="29"/>
      <c r="B366" s="20"/>
      <c r="C366" s="29"/>
      <c r="D366" s="29"/>
      <c r="E366" s="29"/>
      <c r="F366" s="29"/>
      <c r="G366" s="29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</row>
    <row r="367" spans="1:40" x14ac:dyDescent="0.2">
      <c r="A367" s="29"/>
      <c r="B367" s="20"/>
      <c r="C367" s="29"/>
      <c r="D367" s="29"/>
      <c r="E367" s="29"/>
      <c r="F367" s="29"/>
      <c r="G367" s="29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</row>
    <row r="368" spans="1:40" x14ac:dyDescent="0.2">
      <c r="A368" s="29"/>
      <c r="B368" s="20"/>
      <c r="C368" s="29"/>
      <c r="D368" s="29"/>
      <c r="E368" s="29"/>
      <c r="F368" s="29"/>
      <c r="G368" s="29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</row>
    <row r="369" spans="1:40" x14ac:dyDescent="0.2">
      <c r="A369" s="29"/>
      <c r="B369" s="20"/>
      <c r="C369" s="29"/>
      <c r="D369" s="29"/>
      <c r="E369" s="29"/>
      <c r="F369" s="29"/>
      <c r="G369" s="29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</row>
    <row r="370" spans="1:40" x14ac:dyDescent="0.2">
      <c r="A370" s="29"/>
      <c r="B370" s="20"/>
      <c r="C370" s="29"/>
      <c r="D370" s="29"/>
      <c r="E370" s="29"/>
      <c r="F370" s="29"/>
      <c r="G370" s="29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</row>
    <row r="371" spans="1:40" x14ac:dyDescent="0.2">
      <c r="A371" s="29"/>
      <c r="B371" s="20"/>
      <c r="C371" s="29"/>
      <c r="D371" s="29"/>
      <c r="E371" s="29"/>
      <c r="F371" s="29"/>
      <c r="G371" s="29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</row>
    <row r="372" spans="1:40" x14ac:dyDescent="0.2">
      <c r="A372" s="29"/>
      <c r="B372" s="20"/>
      <c r="C372" s="29"/>
      <c r="D372" s="29"/>
      <c r="E372" s="29"/>
      <c r="F372" s="29"/>
      <c r="G372" s="29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</row>
    <row r="373" spans="1:40" x14ac:dyDescent="0.2">
      <c r="A373" s="29"/>
      <c r="B373" s="20"/>
      <c r="C373" s="29"/>
      <c r="D373" s="29"/>
      <c r="E373" s="29"/>
      <c r="F373" s="29"/>
      <c r="G373" s="29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</row>
    <row r="374" spans="1:40" x14ac:dyDescent="0.2">
      <c r="A374" s="29"/>
      <c r="B374" s="20"/>
      <c r="C374" s="29"/>
      <c r="D374" s="29"/>
      <c r="E374" s="29"/>
      <c r="F374" s="29"/>
      <c r="G374" s="29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</row>
    <row r="375" spans="1:40" x14ac:dyDescent="0.2">
      <c r="A375" s="29"/>
      <c r="B375" s="20"/>
      <c r="C375" s="29"/>
      <c r="D375" s="29"/>
      <c r="E375" s="29"/>
      <c r="F375" s="29"/>
      <c r="G375" s="29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</row>
    <row r="376" spans="1:40" x14ac:dyDescent="0.2">
      <c r="A376" s="29"/>
      <c r="B376" s="20"/>
      <c r="C376" s="29"/>
      <c r="D376" s="29"/>
      <c r="E376" s="29"/>
      <c r="F376" s="29"/>
      <c r="G376" s="29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</row>
    <row r="377" spans="1:40" x14ac:dyDescent="0.2">
      <c r="A377" s="29"/>
      <c r="B377" s="20"/>
      <c r="C377" s="29"/>
      <c r="D377" s="29"/>
      <c r="E377" s="29"/>
      <c r="F377" s="29"/>
      <c r="G377" s="29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</row>
    <row r="378" spans="1:40" x14ac:dyDescent="0.2">
      <c r="A378" s="29"/>
      <c r="B378" s="20"/>
      <c r="C378" s="29"/>
      <c r="D378" s="29"/>
      <c r="E378" s="29"/>
      <c r="F378" s="29"/>
      <c r="G378" s="29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</row>
    <row r="379" spans="1:40" x14ac:dyDescent="0.2">
      <c r="A379" s="29"/>
      <c r="B379" s="20"/>
      <c r="C379" s="29"/>
      <c r="D379" s="29"/>
      <c r="E379" s="29"/>
      <c r="F379" s="29"/>
      <c r="G379" s="29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</row>
    <row r="380" spans="1:40" x14ac:dyDescent="0.2">
      <c r="A380" s="29"/>
      <c r="B380" s="20"/>
      <c r="C380" s="29"/>
      <c r="D380" s="29"/>
      <c r="E380" s="29"/>
      <c r="F380" s="29"/>
      <c r="G380" s="29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</row>
    <row r="381" spans="1:40" x14ac:dyDescent="0.2">
      <c r="A381" s="29"/>
      <c r="B381" s="20"/>
      <c r="C381" s="29"/>
      <c r="D381" s="29"/>
      <c r="E381" s="29"/>
      <c r="F381" s="29"/>
      <c r="G381" s="29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</row>
    <row r="382" spans="1:40" x14ac:dyDescent="0.2">
      <c r="A382" s="29"/>
      <c r="B382" s="20"/>
      <c r="C382" s="29"/>
      <c r="D382" s="29"/>
      <c r="E382" s="29"/>
      <c r="F382" s="29"/>
      <c r="G382" s="29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</row>
    <row r="383" spans="1:40" x14ac:dyDescent="0.2">
      <c r="A383" s="29"/>
      <c r="B383" s="20"/>
      <c r="C383" s="29"/>
      <c r="D383" s="29"/>
      <c r="E383" s="29"/>
      <c r="F383" s="29"/>
      <c r="G383" s="29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</row>
    <row r="384" spans="1:40" x14ac:dyDescent="0.2">
      <c r="A384" s="29"/>
      <c r="B384" s="20"/>
      <c r="C384" s="29"/>
      <c r="D384" s="29"/>
      <c r="E384" s="29"/>
      <c r="F384" s="29"/>
      <c r="G384" s="29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</row>
    <row r="385" spans="1:40" x14ac:dyDescent="0.2">
      <c r="A385" s="29"/>
      <c r="B385" s="20"/>
      <c r="C385" s="29"/>
      <c r="D385" s="29"/>
      <c r="E385" s="29"/>
      <c r="F385" s="29"/>
      <c r="G385" s="29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</row>
    <row r="386" spans="1:40" x14ac:dyDescent="0.2">
      <c r="A386" s="29"/>
      <c r="B386" s="20"/>
      <c r="C386" s="29"/>
      <c r="D386" s="29"/>
      <c r="E386" s="29"/>
      <c r="F386" s="29"/>
      <c r="G386" s="29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</row>
    <row r="387" spans="1:40" x14ac:dyDescent="0.2">
      <c r="A387" s="29"/>
      <c r="B387" s="20"/>
      <c r="C387" s="29"/>
      <c r="D387" s="29"/>
      <c r="E387" s="29"/>
      <c r="F387" s="29"/>
      <c r="G387" s="29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</row>
    <row r="388" spans="1:40" x14ac:dyDescent="0.2">
      <c r="A388" s="29"/>
      <c r="B388" s="20"/>
      <c r="C388" s="29"/>
      <c r="D388" s="29"/>
      <c r="E388" s="29"/>
      <c r="F388" s="29"/>
      <c r="G388" s="29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</row>
    <row r="389" spans="1:40" x14ac:dyDescent="0.2">
      <c r="A389" s="29"/>
      <c r="B389" s="20"/>
      <c r="C389" s="29"/>
      <c r="D389" s="29"/>
      <c r="E389" s="29"/>
      <c r="F389" s="29"/>
      <c r="G389" s="29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</row>
    <row r="390" spans="1:40" x14ac:dyDescent="0.2">
      <c r="A390" s="29"/>
      <c r="B390" s="20"/>
      <c r="C390" s="29"/>
      <c r="D390" s="29"/>
      <c r="E390" s="29"/>
      <c r="F390" s="29"/>
      <c r="G390" s="29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</row>
    <row r="391" spans="1:40" x14ac:dyDescent="0.2">
      <c r="A391" s="29"/>
      <c r="B391" s="20"/>
      <c r="C391" s="29"/>
      <c r="D391" s="29"/>
      <c r="E391" s="29"/>
      <c r="F391" s="29"/>
      <c r="G391" s="29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</row>
    <row r="392" spans="1:40" x14ac:dyDescent="0.2">
      <c r="A392" s="29"/>
      <c r="B392" s="20"/>
      <c r="C392" s="29"/>
      <c r="D392" s="29"/>
      <c r="E392" s="29"/>
      <c r="F392" s="29"/>
      <c r="G392" s="29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</row>
    <row r="393" spans="1:40" x14ac:dyDescent="0.2">
      <c r="A393" s="29"/>
      <c r="B393" s="20"/>
      <c r="C393" s="29"/>
      <c r="D393" s="29"/>
      <c r="E393" s="29"/>
      <c r="F393" s="29"/>
      <c r="G393" s="29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</row>
    <row r="394" spans="1:40" x14ac:dyDescent="0.2">
      <c r="A394" s="29"/>
      <c r="B394" s="20"/>
      <c r="C394" s="29"/>
      <c r="D394" s="29"/>
      <c r="E394" s="29"/>
      <c r="F394" s="29"/>
      <c r="G394" s="29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</row>
    <row r="395" spans="1:40" x14ac:dyDescent="0.2">
      <c r="A395" s="29"/>
      <c r="B395" s="20"/>
      <c r="C395" s="29"/>
      <c r="D395" s="29"/>
      <c r="E395" s="29"/>
      <c r="F395" s="29"/>
      <c r="G395" s="29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</row>
    <row r="396" spans="1:40" x14ac:dyDescent="0.2">
      <c r="A396" s="29"/>
      <c r="B396" s="20"/>
      <c r="C396" s="29"/>
      <c r="D396" s="29"/>
      <c r="E396" s="29"/>
      <c r="F396" s="29"/>
      <c r="G396" s="29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</row>
    <row r="397" spans="1:40" x14ac:dyDescent="0.2">
      <c r="A397" s="29"/>
      <c r="B397" s="20"/>
      <c r="C397" s="29"/>
      <c r="D397" s="29"/>
      <c r="E397" s="29"/>
      <c r="F397" s="29"/>
      <c r="G397" s="29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</row>
    <row r="398" spans="1:40" x14ac:dyDescent="0.2">
      <c r="A398" s="29"/>
      <c r="B398" s="20"/>
      <c r="C398" s="29"/>
      <c r="D398" s="29"/>
      <c r="E398" s="29"/>
      <c r="F398" s="29"/>
      <c r="G398" s="29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</row>
    <row r="399" spans="1:40" x14ac:dyDescent="0.2">
      <c r="A399" s="29"/>
      <c r="B399" s="20"/>
      <c r="C399" s="29"/>
      <c r="D399" s="29"/>
      <c r="E399" s="29"/>
      <c r="F399" s="29"/>
      <c r="G399" s="29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</row>
    <row r="400" spans="1:40" x14ac:dyDescent="0.2">
      <c r="A400" s="29"/>
      <c r="B400" s="20"/>
      <c r="C400" s="29"/>
      <c r="D400" s="29"/>
      <c r="E400" s="29"/>
      <c r="F400" s="29"/>
      <c r="G400" s="29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</row>
    <row r="401" spans="1:40" x14ac:dyDescent="0.2">
      <c r="A401" s="29"/>
      <c r="B401" s="20"/>
      <c r="C401" s="29"/>
      <c r="D401" s="29"/>
      <c r="E401" s="29"/>
      <c r="F401" s="29"/>
      <c r="G401" s="29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</row>
    <row r="402" spans="1:40" x14ac:dyDescent="0.2">
      <c r="A402" s="29"/>
      <c r="B402" s="20"/>
      <c r="C402" s="29"/>
      <c r="D402" s="29"/>
      <c r="E402" s="29"/>
      <c r="F402" s="29"/>
      <c r="G402" s="29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</row>
    <row r="403" spans="1:40" x14ac:dyDescent="0.2">
      <c r="A403" s="29"/>
      <c r="B403" s="20"/>
      <c r="C403" s="29"/>
      <c r="D403" s="29"/>
      <c r="E403" s="29"/>
      <c r="F403" s="29"/>
      <c r="G403" s="29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</row>
    <row r="404" spans="1:40" x14ac:dyDescent="0.2">
      <c r="A404" s="29"/>
      <c r="B404" s="20"/>
      <c r="C404" s="29"/>
      <c r="D404" s="29"/>
      <c r="E404" s="29"/>
      <c r="F404" s="29"/>
      <c r="G404" s="29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</row>
    <row r="405" spans="1:40" x14ac:dyDescent="0.2">
      <c r="A405" s="29"/>
      <c r="B405" s="20"/>
      <c r="C405" s="29"/>
      <c r="D405" s="29"/>
      <c r="E405" s="29"/>
      <c r="F405" s="29"/>
      <c r="G405" s="29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</row>
    <row r="406" spans="1:40" x14ac:dyDescent="0.2">
      <c r="A406" s="29"/>
      <c r="B406" s="20"/>
      <c r="C406" s="29"/>
      <c r="D406" s="29"/>
      <c r="E406" s="29"/>
      <c r="F406" s="29"/>
      <c r="G406" s="29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</row>
    <row r="407" spans="1:40" x14ac:dyDescent="0.2">
      <c r="A407" s="29"/>
      <c r="B407" s="20"/>
      <c r="C407" s="29"/>
      <c r="D407" s="29"/>
      <c r="E407" s="29"/>
      <c r="F407" s="29"/>
      <c r="G407" s="29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</row>
    <row r="408" spans="1:40" x14ac:dyDescent="0.2">
      <c r="A408" s="29"/>
      <c r="B408" s="20"/>
      <c r="C408" s="29"/>
      <c r="D408" s="29"/>
      <c r="E408" s="29"/>
      <c r="F408" s="29"/>
      <c r="G408" s="29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</row>
    <row r="409" spans="1:40" x14ac:dyDescent="0.2">
      <c r="A409" s="29"/>
      <c r="B409" s="20"/>
      <c r="C409" s="29"/>
      <c r="D409" s="29"/>
      <c r="E409" s="29"/>
      <c r="F409" s="29"/>
      <c r="G409" s="29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</row>
    <row r="410" spans="1:40" x14ac:dyDescent="0.2">
      <c r="A410" s="29"/>
      <c r="B410" s="20"/>
      <c r="C410" s="29"/>
      <c r="D410" s="29"/>
      <c r="E410" s="29"/>
      <c r="F410" s="29"/>
      <c r="G410" s="29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</row>
    <row r="411" spans="1:40" x14ac:dyDescent="0.2">
      <c r="A411" s="29"/>
      <c r="B411" s="20"/>
      <c r="C411" s="29"/>
      <c r="D411" s="29"/>
      <c r="E411" s="29"/>
      <c r="F411" s="29"/>
      <c r="G411" s="29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</row>
    <row r="412" spans="1:40" x14ac:dyDescent="0.2">
      <c r="A412" s="29"/>
      <c r="B412" s="20"/>
      <c r="C412" s="29"/>
      <c r="D412" s="29"/>
      <c r="E412" s="29"/>
      <c r="F412" s="29"/>
      <c r="G412" s="29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</row>
    <row r="413" spans="1:40" x14ac:dyDescent="0.2">
      <c r="A413" s="29"/>
      <c r="B413" s="20"/>
      <c r="C413" s="29"/>
      <c r="D413" s="29"/>
      <c r="E413" s="29"/>
      <c r="F413" s="29"/>
      <c r="G413" s="29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</row>
    <row r="414" spans="1:40" x14ac:dyDescent="0.2">
      <c r="A414" s="29"/>
      <c r="B414" s="20"/>
      <c r="C414" s="29"/>
      <c r="D414" s="29"/>
      <c r="E414" s="29"/>
      <c r="F414" s="29"/>
      <c r="G414" s="29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</row>
    <row r="415" spans="1:40" x14ac:dyDescent="0.2">
      <c r="A415" s="29"/>
      <c r="B415" s="20"/>
      <c r="C415" s="29"/>
      <c r="D415" s="29"/>
      <c r="E415" s="29"/>
      <c r="F415" s="29"/>
      <c r="G415" s="29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</row>
    <row r="416" spans="1:40" x14ac:dyDescent="0.2">
      <c r="A416" s="29"/>
      <c r="B416" s="20"/>
      <c r="C416" s="29"/>
      <c r="D416" s="29"/>
      <c r="E416" s="29"/>
      <c r="F416" s="29"/>
      <c r="G416" s="29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</row>
    <row r="417" spans="1:40" x14ac:dyDescent="0.2">
      <c r="A417" s="29"/>
      <c r="B417" s="20"/>
      <c r="C417" s="29"/>
      <c r="D417" s="29"/>
      <c r="E417" s="29"/>
      <c r="F417" s="29"/>
      <c r="G417" s="29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</row>
    <row r="418" spans="1:40" x14ac:dyDescent="0.2">
      <c r="A418" s="29"/>
      <c r="B418" s="20"/>
      <c r="C418" s="29"/>
      <c r="D418" s="29"/>
      <c r="E418" s="29"/>
      <c r="F418" s="29"/>
      <c r="G418" s="29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</row>
    <row r="419" spans="1:40" x14ac:dyDescent="0.2">
      <c r="A419" s="29"/>
      <c r="B419" s="20"/>
      <c r="C419" s="29"/>
      <c r="D419" s="29"/>
      <c r="E419" s="29"/>
      <c r="F419" s="29"/>
      <c r="G419" s="29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</row>
    <row r="420" spans="1:40" x14ac:dyDescent="0.2">
      <c r="A420" s="29"/>
      <c r="B420" s="20"/>
      <c r="C420" s="29"/>
      <c r="D420" s="29"/>
      <c r="E420" s="29"/>
      <c r="F420" s="29"/>
      <c r="G420" s="29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</row>
    <row r="421" spans="1:40" x14ac:dyDescent="0.2">
      <c r="A421" s="29"/>
      <c r="B421" s="20"/>
      <c r="C421" s="29"/>
      <c r="D421" s="29"/>
      <c r="E421" s="29"/>
      <c r="F421" s="29"/>
      <c r="G421" s="29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</row>
    <row r="422" spans="1:40" x14ac:dyDescent="0.2">
      <c r="A422" s="29"/>
      <c r="B422" s="20"/>
      <c r="C422" s="29"/>
      <c r="D422" s="29"/>
      <c r="E422" s="29"/>
      <c r="F422" s="29"/>
      <c r="G422" s="29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</row>
    <row r="423" spans="1:40" x14ac:dyDescent="0.2">
      <c r="A423" s="29"/>
      <c r="B423" s="20"/>
      <c r="C423" s="29"/>
      <c r="D423" s="29"/>
      <c r="E423" s="29"/>
      <c r="F423" s="29"/>
      <c r="G423" s="29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</row>
    <row r="424" spans="1:40" x14ac:dyDescent="0.2">
      <c r="A424" s="29"/>
      <c r="B424" s="20"/>
      <c r="C424" s="29"/>
      <c r="D424" s="29"/>
      <c r="E424" s="29"/>
      <c r="F424" s="29"/>
      <c r="G424" s="29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</row>
    <row r="425" spans="1:40" x14ac:dyDescent="0.2">
      <c r="A425" s="29"/>
      <c r="B425" s="20"/>
      <c r="C425" s="29"/>
      <c r="D425" s="29"/>
      <c r="E425" s="29"/>
      <c r="F425" s="29"/>
      <c r="G425" s="29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</row>
    <row r="426" spans="1:40" x14ac:dyDescent="0.2">
      <c r="A426" s="29"/>
      <c r="B426" s="20"/>
      <c r="C426" s="29"/>
      <c r="D426" s="29"/>
      <c r="E426" s="29"/>
      <c r="F426" s="29"/>
      <c r="G426" s="29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</row>
    <row r="427" spans="1:40" x14ac:dyDescent="0.2">
      <c r="A427" s="29"/>
      <c r="B427" s="20"/>
      <c r="C427" s="29"/>
      <c r="D427" s="29"/>
      <c r="E427" s="29"/>
      <c r="F427" s="29"/>
      <c r="G427" s="29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</row>
    <row r="428" spans="1:40" x14ac:dyDescent="0.2">
      <c r="A428" s="29"/>
      <c r="B428" s="20"/>
      <c r="C428" s="29"/>
      <c r="D428" s="29"/>
      <c r="E428" s="29"/>
      <c r="F428" s="29"/>
      <c r="G428" s="29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</row>
    <row r="429" spans="1:40" x14ac:dyDescent="0.2">
      <c r="A429" s="29"/>
      <c r="B429" s="20"/>
      <c r="C429" s="29"/>
      <c r="D429" s="29"/>
      <c r="E429" s="29"/>
      <c r="F429" s="29"/>
      <c r="G429" s="29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</row>
    <row r="430" spans="1:40" x14ac:dyDescent="0.2">
      <c r="A430" s="29"/>
      <c r="B430" s="20"/>
      <c r="C430" s="29"/>
      <c r="D430" s="29"/>
      <c r="E430" s="29"/>
      <c r="F430" s="29"/>
      <c r="G430" s="29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</row>
    <row r="431" spans="1:40" x14ac:dyDescent="0.2">
      <c r="A431" s="29"/>
      <c r="B431" s="20"/>
      <c r="C431" s="29"/>
      <c r="D431" s="29"/>
      <c r="E431" s="29"/>
      <c r="F431" s="29"/>
      <c r="G431" s="29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</row>
    <row r="432" spans="1:40" x14ac:dyDescent="0.2">
      <c r="A432" s="29"/>
      <c r="B432" s="20"/>
      <c r="C432" s="29"/>
      <c r="D432" s="29"/>
      <c r="E432" s="29"/>
      <c r="F432" s="29"/>
      <c r="G432" s="29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</row>
    <row r="433" spans="1:40" x14ac:dyDescent="0.2">
      <c r="A433" s="29"/>
      <c r="B433" s="20"/>
      <c r="C433" s="29"/>
      <c r="D433" s="29"/>
      <c r="E433" s="29"/>
      <c r="F433" s="29"/>
      <c r="G433" s="29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</row>
    <row r="434" spans="1:40" x14ac:dyDescent="0.2">
      <c r="A434" s="29"/>
      <c r="B434" s="20"/>
      <c r="C434" s="29"/>
      <c r="D434" s="29"/>
      <c r="E434" s="29"/>
      <c r="F434" s="29"/>
      <c r="G434" s="29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</row>
    <row r="435" spans="1:40" x14ac:dyDescent="0.2">
      <c r="A435" s="29"/>
      <c r="B435" s="20"/>
      <c r="C435" s="29"/>
      <c r="D435" s="29"/>
      <c r="E435" s="29"/>
      <c r="F435" s="29"/>
      <c r="G435" s="29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</row>
    <row r="436" spans="1:40" x14ac:dyDescent="0.2">
      <c r="A436" s="29"/>
      <c r="B436" s="20"/>
      <c r="C436" s="29"/>
      <c r="D436" s="29"/>
      <c r="E436" s="29"/>
      <c r="F436" s="29"/>
      <c r="G436" s="29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</row>
    <row r="437" spans="1:40" x14ac:dyDescent="0.2">
      <c r="A437" s="29"/>
      <c r="B437" s="20"/>
      <c r="C437" s="29"/>
      <c r="D437" s="29"/>
      <c r="E437" s="29"/>
      <c r="F437" s="29"/>
      <c r="G437" s="29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</row>
    <row r="438" spans="1:40" x14ac:dyDescent="0.2">
      <c r="A438" s="29"/>
      <c r="B438" s="20"/>
      <c r="C438" s="29"/>
      <c r="D438" s="29"/>
      <c r="E438" s="29"/>
      <c r="F438" s="29"/>
      <c r="G438" s="29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</row>
    <row r="439" spans="1:40" x14ac:dyDescent="0.2">
      <c r="A439" s="29"/>
      <c r="B439" s="20"/>
      <c r="C439" s="29"/>
      <c r="D439" s="29"/>
      <c r="E439" s="29"/>
      <c r="F439" s="29"/>
      <c r="G439" s="29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</row>
    <row r="440" spans="1:40" x14ac:dyDescent="0.2">
      <c r="A440" s="29"/>
      <c r="B440" s="20"/>
      <c r="C440" s="29"/>
      <c r="D440" s="29"/>
      <c r="E440" s="29"/>
      <c r="F440" s="29"/>
      <c r="G440" s="29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</row>
    <row r="441" spans="1:40" x14ac:dyDescent="0.2">
      <c r="A441" s="29"/>
      <c r="B441" s="20"/>
      <c r="C441" s="29"/>
      <c r="D441" s="29"/>
      <c r="E441" s="29"/>
      <c r="F441" s="29"/>
      <c r="G441" s="29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</row>
    <row r="442" spans="1:40" x14ac:dyDescent="0.2">
      <c r="A442" s="29"/>
      <c r="B442" s="20"/>
      <c r="C442" s="29"/>
      <c r="D442" s="29"/>
      <c r="E442" s="29"/>
      <c r="F442" s="29"/>
      <c r="G442" s="29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</row>
    <row r="443" spans="1:40" x14ac:dyDescent="0.2">
      <c r="A443" s="29"/>
      <c r="B443" s="20"/>
      <c r="C443" s="29"/>
      <c r="D443" s="29"/>
      <c r="E443" s="29"/>
      <c r="F443" s="29"/>
      <c r="G443" s="29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</row>
    <row r="444" spans="1:40" x14ac:dyDescent="0.2">
      <c r="A444" s="29"/>
      <c r="B444" s="20"/>
      <c r="C444" s="29"/>
      <c r="D444" s="29"/>
      <c r="E444" s="29"/>
      <c r="F444" s="29"/>
      <c r="G444" s="29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</row>
    <row r="445" spans="1:40" x14ac:dyDescent="0.2">
      <c r="A445" s="29"/>
      <c r="B445" s="20"/>
      <c r="C445" s="29"/>
      <c r="D445" s="29"/>
      <c r="E445" s="29"/>
      <c r="F445" s="29"/>
      <c r="G445" s="29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</row>
    <row r="446" spans="1:40" x14ac:dyDescent="0.2">
      <c r="A446" s="29"/>
      <c r="B446" s="20"/>
      <c r="C446" s="29"/>
      <c r="D446" s="29"/>
      <c r="E446" s="29"/>
      <c r="F446" s="29"/>
      <c r="G446" s="29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</row>
    <row r="447" spans="1:40" x14ac:dyDescent="0.2">
      <c r="A447" s="29"/>
      <c r="B447" s="20"/>
      <c r="C447" s="29"/>
      <c r="D447" s="29"/>
      <c r="E447" s="29"/>
      <c r="F447" s="29"/>
      <c r="G447" s="29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</row>
    <row r="448" spans="1:40" x14ac:dyDescent="0.2">
      <c r="A448" s="29"/>
      <c r="B448" s="20"/>
      <c r="C448" s="29"/>
      <c r="D448" s="29"/>
      <c r="E448" s="29"/>
      <c r="F448" s="29"/>
      <c r="G448" s="29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</row>
    <row r="449" spans="1:40" x14ac:dyDescent="0.2">
      <c r="A449" s="29"/>
      <c r="B449" s="20"/>
      <c r="C449" s="29"/>
      <c r="D449" s="29"/>
      <c r="E449" s="29"/>
      <c r="F449" s="29"/>
      <c r="G449" s="29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</row>
    <row r="450" spans="1:40" x14ac:dyDescent="0.2">
      <c r="A450" s="29"/>
      <c r="B450" s="20"/>
      <c r="C450" s="29"/>
      <c r="D450" s="29"/>
      <c r="E450" s="29"/>
      <c r="F450" s="29"/>
      <c r="G450" s="29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</row>
    <row r="451" spans="1:40" x14ac:dyDescent="0.2">
      <c r="A451" s="29"/>
      <c r="B451" s="20"/>
      <c r="C451" s="29"/>
      <c r="D451" s="29"/>
      <c r="E451" s="29"/>
      <c r="F451" s="29"/>
      <c r="G451" s="29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</row>
    <row r="452" spans="1:40" x14ac:dyDescent="0.2">
      <c r="A452" s="29"/>
      <c r="B452" s="20"/>
      <c r="C452" s="29"/>
      <c r="D452" s="29"/>
      <c r="E452" s="29"/>
      <c r="F452" s="29"/>
      <c r="G452" s="29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</row>
    <row r="453" spans="1:40" x14ac:dyDescent="0.2">
      <c r="A453" s="29"/>
      <c r="B453" s="20"/>
      <c r="C453" s="29"/>
      <c r="D453" s="29"/>
      <c r="E453" s="29"/>
      <c r="F453" s="29"/>
      <c r="G453" s="29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</row>
    <row r="454" spans="1:40" x14ac:dyDescent="0.2">
      <c r="A454" s="29"/>
      <c r="B454" s="20"/>
      <c r="C454" s="29"/>
      <c r="D454" s="29"/>
      <c r="E454" s="29"/>
      <c r="F454" s="29"/>
      <c r="G454" s="29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</row>
    <row r="455" spans="1:40" x14ac:dyDescent="0.2">
      <c r="A455" s="29"/>
      <c r="B455" s="20"/>
      <c r="C455" s="29"/>
      <c r="D455" s="29"/>
      <c r="E455" s="29"/>
      <c r="F455" s="29"/>
      <c r="G455" s="29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</row>
    <row r="456" spans="1:40" x14ac:dyDescent="0.2">
      <c r="A456" s="29"/>
      <c r="B456" s="20"/>
      <c r="C456" s="29"/>
      <c r="D456" s="29"/>
      <c r="E456" s="29"/>
      <c r="F456" s="29"/>
      <c r="G456" s="29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</row>
    <row r="457" spans="1:40" x14ac:dyDescent="0.2">
      <c r="A457" s="29"/>
      <c r="B457" s="20"/>
      <c r="C457" s="29"/>
      <c r="D457" s="29"/>
      <c r="E457" s="29"/>
      <c r="F457" s="29"/>
      <c r="G457" s="29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</row>
    <row r="458" spans="1:40" x14ac:dyDescent="0.2">
      <c r="A458" s="29"/>
      <c r="B458" s="20"/>
      <c r="C458" s="29"/>
      <c r="D458" s="29"/>
      <c r="E458" s="29"/>
      <c r="F458" s="29"/>
      <c r="G458" s="29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</row>
    <row r="459" spans="1:40" x14ac:dyDescent="0.2">
      <c r="A459" s="29"/>
      <c r="B459" s="20"/>
      <c r="C459" s="29"/>
      <c r="D459" s="29"/>
      <c r="E459" s="29"/>
      <c r="F459" s="29"/>
      <c r="G459" s="29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</row>
    <row r="460" spans="1:40" x14ac:dyDescent="0.2">
      <c r="A460" s="29"/>
      <c r="B460" s="20"/>
      <c r="C460" s="29"/>
      <c r="D460" s="29"/>
      <c r="E460" s="29"/>
      <c r="F460" s="29"/>
      <c r="G460" s="29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</row>
    <row r="461" spans="1:40" x14ac:dyDescent="0.2">
      <c r="A461" s="29"/>
      <c r="B461" s="20"/>
      <c r="C461" s="29"/>
      <c r="D461" s="29"/>
      <c r="E461" s="29"/>
      <c r="F461" s="29"/>
      <c r="G461" s="29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</row>
    <row r="462" spans="1:40" x14ac:dyDescent="0.2">
      <c r="A462" s="29"/>
      <c r="B462" s="20"/>
      <c r="C462" s="29"/>
      <c r="D462" s="29"/>
      <c r="E462" s="29"/>
      <c r="F462" s="29"/>
      <c r="G462" s="29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</row>
    <row r="463" spans="1:40" x14ac:dyDescent="0.2">
      <c r="A463" s="29"/>
      <c r="B463" s="20"/>
      <c r="C463" s="29"/>
      <c r="D463" s="29"/>
      <c r="E463" s="29"/>
      <c r="F463" s="29"/>
      <c r="G463" s="29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</row>
    <row r="464" spans="1:40" x14ac:dyDescent="0.2">
      <c r="A464" s="29"/>
      <c r="B464" s="20"/>
      <c r="C464" s="29"/>
      <c r="D464" s="29"/>
      <c r="E464" s="29"/>
      <c r="F464" s="29"/>
      <c r="G464" s="29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</row>
    <row r="465" spans="1:40" x14ac:dyDescent="0.2">
      <c r="A465" s="29"/>
      <c r="B465" s="20"/>
      <c r="C465" s="29"/>
      <c r="D465" s="29"/>
      <c r="E465" s="29"/>
      <c r="F465" s="29"/>
      <c r="G465" s="29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</row>
    <row r="466" spans="1:40" x14ac:dyDescent="0.2">
      <c r="A466" s="29"/>
      <c r="B466" s="20"/>
      <c r="C466" s="29"/>
      <c r="D466" s="29"/>
      <c r="E466" s="29"/>
      <c r="F466" s="29"/>
      <c r="G466" s="29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</row>
    <row r="467" spans="1:40" x14ac:dyDescent="0.2">
      <c r="A467" s="29"/>
      <c r="B467" s="20"/>
      <c r="C467" s="29"/>
      <c r="D467" s="29"/>
      <c r="E467" s="29"/>
      <c r="F467" s="29"/>
      <c r="G467" s="29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</row>
    <row r="468" spans="1:40" x14ac:dyDescent="0.2">
      <c r="A468" s="29"/>
      <c r="B468" s="20"/>
      <c r="C468" s="29"/>
      <c r="D468" s="29"/>
      <c r="E468" s="29"/>
      <c r="F468" s="29"/>
      <c r="G468" s="29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</row>
    <row r="469" spans="1:40" x14ac:dyDescent="0.2">
      <c r="A469" s="29"/>
      <c r="B469" s="20"/>
      <c r="C469" s="29"/>
      <c r="D469" s="29"/>
      <c r="E469" s="29"/>
      <c r="F469" s="29"/>
      <c r="G469" s="29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</row>
    <row r="470" spans="1:40" x14ac:dyDescent="0.2">
      <c r="A470" s="29"/>
      <c r="B470" s="20"/>
      <c r="C470" s="29"/>
      <c r="D470" s="29"/>
      <c r="E470" s="29"/>
      <c r="F470" s="29"/>
      <c r="G470" s="29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</row>
    <row r="471" spans="1:40" x14ac:dyDescent="0.2">
      <c r="A471" s="29"/>
      <c r="B471" s="20"/>
      <c r="C471" s="29"/>
      <c r="D471" s="29"/>
      <c r="E471" s="29"/>
      <c r="F471" s="29"/>
      <c r="G471" s="29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</row>
    <row r="472" spans="1:40" x14ac:dyDescent="0.2">
      <c r="A472" s="29"/>
      <c r="B472" s="20"/>
      <c r="C472" s="29"/>
      <c r="D472" s="29"/>
      <c r="E472" s="29"/>
      <c r="F472" s="29"/>
      <c r="G472" s="29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</row>
    <row r="473" spans="1:40" x14ac:dyDescent="0.2">
      <c r="A473" s="29"/>
      <c r="B473" s="20"/>
      <c r="C473" s="29"/>
      <c r="D473" s="29"/>
      <c r="E473" s="29"/>
      <c r="F473" s="29"/>
      <c r="G473" s="29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</row>
    <row r="474" spans="1:40" x14ac:dyDescent="0.2">
      <c r="A474" s="29"/>
      <c r="B474" s="20"/>
      <c r="C474" s="29"/>
      <c r="D474" s="29"/>
      <c r="E474" s="29"/>
      <c r="F474" s="29"/>
      <c r="G474" s="29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</row>
    <row r="475" spans="1:40" x14ac:dyDescent="0.2">
      <c r="A475" s="29"/>
      <c r="B475" s="20"/>
      <c r="C475" s="29"/>
      <c r="D475" s="29"/>
      <c r="E475" s="29"/>
      <c r="F475" s="29"/>
      <c r="G475" s="29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</row>
    <row r="476" spans="1:40" x14ac:dyDescent="0.2">
      <c r="A476" s="29"/>
      <c r="B476" s="20"/>
      <c r="C476" s="29"/>
      <c r="D476" s="29"/>
      <c r="E476" s="29"/>
      <c r="F476" s="29"/>
      <c r="G476" s="29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</row>
    <row r="477" spans="1:40" x14ac:dyDescent="0.2">
      <c r="A477" s="29"/>
      <c r="B477" s="20"/>
      <c r="C477" s="29"/>
      <c r="D477" s="29"/>
      <c r="E477" s="29"/>
      <c r="F477" s="29"/>
      <c r="G477" s="29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</row>
    <row r="478" spans="1:40" x14ac:dyDescent="0.2">
      <c r="A478" s="29"/>
      <c r="B478" s="20"/>
      <c r="C478" s="29"/>
      <c r="D478" s="29"/>
      <c r="E478" s="29"/>
      <c r="F478" s="29"/>
      <c r="G478" s="29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</row>
    <row r="479" spans="1:40" x14ac:dyDescent="0.2">
      <c r="A479" s="29"/>
      <c r="B479" s="20"/>
      <c r="C479" s="29"/>
      <c r="D479" s="29"/>
      <c r="E479" s="29"/>
      <c r="F479" s="29"/>
      <c r="G479" s="29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</row>
    <row r="480" spans="1:40" x14ac:dyDescent="0.2">
      <c r="A480" s="29"/>
      <c r="B480" s="20"/>
      <c r="C480" s="29"/>
      <c r="D480" s="29"/>
      <c r="E480" s="29"/>
      <c r="F480" s="29"/>
      <c r="G480" s="29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</row>
    <row r="481" spans="1:40" x14ac:dyDescent="0.2">
      <c r="A481" s="29"/>
      <c r="B481" s="20"/>
      <c r="C481" s="29"/>
      <c r="D481" s="29"/>
      <c r="E481" s="29"/>
      <c r="F481" s="29"/>
      <c r="G481" s="29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</row>
    <row r="482" spans="1:40" x14ac:dyDescent="0.2">
      <c r="A482" s="29"/>
      <c r="B482" s="20"/>
      <c r="C482" s="29"/>
      <c r="D482" s="29"/>
      <c r="E482" s="29"/>
      <c r="F482" s="29"/>
      <c r="G482" s="29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</row>
    <row r="483" spans="1:40" x14ac:dyDescent="0.2">
      <c r="A483" s="29"/>
      <c r="B483" s="20"/>
      <c r="C483" s="29"/>
      <c r="D483" s="29"/>
      <c r="E483" s="29"/>
      <c r="F483" s="29"/>
      <c r="G483" s="29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</row>
    <row r="484" spans="1:40" x14ac:dyDescent="0.2">
      <c r="A484" s="29"/>
      <c r="B484" s="20"/>
      <c r="C484" s="29"/>
      <c r="D484" s="29"/>
      <c r="E484" s="29"/>
      <c r="F484" s="29"/>
      <c r="G484" s="29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</row>
    <row r="485" spans="1:40" x14ac:dyDescent="0.2">
      <c r="A485" s="29"/>
      <c r="B485" s="20"/>
      <c r="C485" s="29"/>
      <c r="D485" s="29"/>
      <c r="E485" s="29"/>
      <c r="F485" s="29"/>
      <c r="G485" s="29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</row>
    <row r="486" spans="1:40" x14ac:dyDescent="0.2">
      <c r="A486" s="29"/>
      <c r="B486" s="20"/>
      <c r="C486" s="29"/>
      <c r="D486" s="29"/>
      <c r="E486" s="29"/>
      <c r="F486" s="29"/>
      <c r="G486" s="29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</row>
    <row r="487" spans="1:40" x14ac:dyDescent="0.2">
      <c r="A487" s="29"/>
      <c r="B487" s="20"/>
      <c r="C487" s="29"/>
      <c r="D487" s="29"/>
      <c r="E487" s="29"/>
      <c r="F487" s="29"/>
      <c r="G487" s="29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</row>
    <row r="488" spans="1:40" x14ac:dyDescent="0.2">
      <c r="A488" s="29"/>
      <c r="B488" s="20"/>
      <c r="C488" s="29"/>
      <c r="D488" s="29"/>
      <c r="E488" s="29"/>
      <c r="F488" s="29"/>
      <c r="G488" s="29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</row>
    <row r="489" spans="1:40" x14ac:dyDescent="0.2">
      <c r="A489" s="29"/>
      <c r="B489" s="20"/>
      <c r="C489" s="29"/>
      <c r="D489" s="29"/>
      <c r="E489" s="29"/>
      <c r="F489" s="29"/>
      <c r="G489" s="29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</row>
    <row r="490" spans="1:40" x14ac:dyDescent="0.2">
      <c r="A490" s="29"/>
      <c r="B490" s="20"/>
      <c r="C490" s="29"/>
      <c r="D490" s="29"/>
      <c r="E490" s="29"/>
      <c r="F490" s="29"/>
      <c r="G490" s="29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</row>
    <row r="491" spans="1:40" x14ac:dyDescent="0.2">
      <c r="A491" s="29"/>
      <c r="B491" s="20"/>
      <c r="C491" s="29"/>
      <c r="D491" s="29"/>
      <c r="E491" s="29"/>
      <c r="F491" s="29"/>
      <c r="G491" s="29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</row>
    <row r="492" spans="1:40" x14ac:dyDescent="0.2">
      <c r="A492" s="29"/>
      <c r="B492" s="20"/>
      <c r="C492" s="29"/>
      <c r="D492" s="29"/>
      <c r="E492" s="29"/>
      <c r="F492" s="29"/>
      <c r="G492" s="29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</row>
    <row r="493" spans="1:40" x14ac:dyDescent="0.2">
      <c r="A493" s="29"/>
      <c r="B493" s="20"/>
      <c r="C493" s="29"/>
      <c r="D493" s="29"/>
      <c r="E493" s="29"/>
      <c r="F493" s="29"/>
      <c r="G493" s="29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</row>
    <row r="494" spans="1:40" x14ac:dyDescent="0.2">
      <c r="A494" s="29"/>
      <c r="B494" s="20"/>
      <c r="C494" s="29"/>
      <c r="D494" s="29"/>
      <c r="E494" s="29"/>
      <c r="F494" s="29"/>
      <c r="G494" s="29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</row>
    <row r="495" spans="1:40" x14ac:dyDescent="0.2">
      <c r="A495" s="29"/>
      <c r="B495" s="20"/>
      <c r="C495" s="29"/>
      <c r="D495" s="29"/>
      <c r="E495" s="29"/>
      <c r="F495" s="29"/>
      <c r="G495" s="29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</row>
    <row r="496" spans="1:40" x14ac:dyDescent="0.2">
      <c r="A496" s="29"/>
      <c r="B496" s="20"/>
      <c r="C496" s="29"/>
      <c r="D496" s="29"/>
      <c r="E496" s="29"/>
      <c r="F496" s="29"/>
      <c r="G496" s="29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</row>
    <row r="497" spans="1:40" x14ac:dyDescent="0.2">
      <c r="A497" s="29"/>
      <c r="B497" s="20"/>
      <c r="C497" s="29"/>
      <c r="D497" s="29"/>
      <c r="E497" s="29"/>
      <c r="F497" s="29"/>
      <c r="G497" s="29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</row>
    <row r="498" spans="1:40" x14ac:dyDescent="0.2">
      <c r="A498" s="29"/>
      <c r="B498" s="20"/>
      <c r="C498" s="29"/>
      <c r="D498" s="29"/>
      <c r="E498" s="29"/>
      <c r="F498" s="29"/>
      <c r="G498" s="29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</row>
    <row r="499" spans="1:40" x14ac:dyDescent="0.2">
      <c r="A499" s="29"/>
      <c r="B499" s="20"/>
      <c r="C499" s="29"/>
      <c r="D499" s="29"/>
      <c r="E499" s="29"/>
      <c r="F499" s="29"/>
      <c r="G499" s="29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</row>
    <row r="500" spans="1:40" x14ac:dyDescent="0.2">
      <c r="A500" s="29"/>
      <c r="B500" s="20"/>
      <c r="C500" s="29"/>
      <c r="D500" s="29"/>
      <c r="E500" s="29"/>
      <c r="F500" s="29"/>
      <c r="G500" s="29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</row>
    <row r="501" spans="1:40" x14ac:dyDescent="0.2">
      <c r="A501" s="29"/>
      <c r="B501" s="20"/>
      <c r="C501" s="29"/>
      <c r="D501" s="29"/>
      <c r="E501" s="29"/>
      <c r="F501" s="29"/>
      <c r="G501" s="29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</row>
    <row r="502" spans="1:40" x14ac:dyDescent="0.2">
      <c r="A502" s="29"/>
      <c r="B502" s="20"/>
      <c r="C502" s="29"/>
      <c r="D502" s="29"/>
      <c r="E502" s="29"/>
      <c r="F502" s="29"/>
      <c r="G502" s="29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</row>
    <row r="503" spans="1:40" x14ac:dyDescent="0.2">
      <c r="A503" s="29"/>
      <c r="B503" s="20"/>
      <c r="C503" s="29"/>
      <c r="D503" s="29"/>
      <c r="E503" s="29"/>
      <c r="F503" s="29"/>
      <c r="G503" s="29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</row>
    <row r="504" spans="1:40" x14ac:dyDescent="0.2">
      <c r="A504" s="29"/>
      <c r="B504" s="20"/>
      <c r="C504" s="29"/>
      <c r="D504" s="29"/>
      <c r="E504" s="29"/>
      <c r="F504" s="29"/>
      <c r="G504" s="29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</row>
    <row r="505" spans="1:40" x14ac:dyDescent="0.2">
      <c r="A505" s="29"/>
      <c r="B505" s="20"/>
      <c r="C505" s="29"/>
      <c r="D505" s="29"/>
      <c r="E505" s="29"/>
      <c r="F505" s="29"/>
      <c r="G505" s="29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</row>
    <row r="506" spans="1:40" x14ac:dyDescent="0.2">
      <c r="A506" s="29"/>
      <c r="B506" s="20"/>
      <c r="C506" s="29"/>
      <c r="D506" s="29"/>
      <c r="E506" s="29"/>
      <c r="F506" s="29"/>
      <c r="G506" s="29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</row>
    <row r="507" spans="1:40" x14ac:dyDescent="0.2">
      <c r="A507" s="29"/>
      <c r="B507" s="20"/>
      <c r="C507" s="29"/>
      <c r="D507" s="29"/>
      <c r="E507" s="29"/>
      <c r="F507" s="29"/>
      <c r="G507" s="29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</row>
    <row r="508" spans="1:40" x14ac:dyDescent="0.2">
      <c r="A508" s="29"/>
      <c r="B508" s="20"/>
      <c r="C508" s="29"/>
      <c r="D508" s="29"/>
      <c r="E508" s="29"/>
      <c r="F508" s="29"/>
      <c r="G508" s="29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</row>
    <row r="509" spans="1:40" x14ac:dyDescent="0.2">
      <c r="A509" s="29"/>
      <c r="B509" s="20"/>
      <c r="C509" s="29"/>
      <c r="D509" s="29"/>
      <c r="E509" s="29"/>
      <c r="F509" s="29"/>
      <c r="G509" s="29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</row>
    <row r="510" spans="1:40" x14ac:dyDescent="0.2">
      <c r="A510" s="29"/>
      <c r="B510" s="20"/>
      <c r="C510" s="29"/>
      <c r="D510" s="29"/>
      <c r="E510" s="29"/>
      <c r="F510" s="29"/>
      <c r="G510" s="29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</row>
    <row r="511" spans="1:40" x14ac:dyDescent="0.2">
      <c r="A511" s="29"/>
      <c r="B511" s="20"/>
      <c r="C511" s="29"/>
      <c r="D511" s="29"/>
      <c r="E511" s="29"/>
      <c r="F511" s="29"/>
      <c r="G511" s="29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</row>
    <row r="512" spans="1:40" x14ac:dyDescent="0.2">
      <c r="A512" s="29"/>
      <c r="B512" s="20"/>
      <c r="C512" s="29"/>
      <c r="D512" s="29"/>
      <c r="E512" s="29"/>
      <c r="F512" s="29"/>
      <c r="G512" s="29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</row>
    <row r="513" spans="1:40" x14ac:dyDescent="0.2">
      <c r="A513" s="29"/>
      <c r="B513" s="20"/>
      <c r="C513" s="29"/>
      <c r="D513" s="29"/>
      <c r="E513" s="29"/>
      <c r="F513" s="29"/>
      <c r="G513" s="29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</row>
    <row r="514" spans="1:40" x14ac:dyDescent="0.2">
      <c r="A514" s="29"/>
      <c r="B514" s="20"/>
      <c r="C514" s="29"/>
      <c r="D514" s="29"/>
      <c r="E514" s="29"/>
      <c r="F514" s="29"/>
      <c r="G514" s="29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</row>
    <row r="515" spans="1:40" x14ac:dyDescent="0.2">
      <c r="A515" s="29"/>
      <c r="B515" s="20"/>
      <c r="C515" s="29"/>
      <c r="D515" s="29"/>
      <c r="E515" s="29"/>
      <c r="F515" s="29"/>
      <c r="G515" s="29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</row>
    <row r="516" spans="1:40" x14ac:dyDescent="0.2">
      <c r="A516" s="29"/>
      <c r="B516" s="20"/>
      <c r="C516" s="29"/>
      <c r="D516" s="29"/>
      <c r="E516" s="29"/>
      <c r="F516" s="29"/>
      <c r="G516" s="29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</row>
    <row r="517" spans="1:40" x14ac:dyDescent="0.2">
      <c r="A517" s="29"/>
      <c r="B517" s="20"/>
      <c r="C517" s="29"/>
      <c r="D517" s="29"/>
      <c r="E517" s="29"/>
      <c r="F517" s="29"/>
      <c r="G517" s="29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</row>
    <row r="518" spans="1:40" x14ac:dyDescent="0.2">
      <c r="A518" s="29"/>
      <c r="B518" s="20"/>
      <c r="C518" s="29"/>
      <c r="D518" s="29"/>
      <c r="E518" s="29"/>
      <c r="F518" s="29"/>
      <c r="G518" s="29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</row>
    <row r="519" spans="1:40" x14ac:dyDescent="0.2">
      <c r="A519" s="29"/>
      <c r="B519" s="20"/>
      <c r="C519" s="29"/>
      <c r="D519" s="29"/>
      <c r="E519" s="29"/>
      <c r="F519" s="29"/>
      <c r="G519" s="29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</row>
    <row r="520" spans="1:40" x14ac:dyDescent="0.2">
      <c r="A520" s="29"/>
      <c r="B520" s="20"/>
      <c r="C520" s="29"/>
      <c r="D520" s="29"/>
      <c r="E520" s="29"/>
      <c r="F520" s="29"/>
      <c r="G520" s="29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</row>
    <row r="521" spans="1:40" x14ac:dyDescent="0.2">
      <c r="A521" s="29"/>
      <c r="B521" s="20"/>
      <c r="C521" s="29"/>
      <c r="D521" s="29"/>
      <c r="E521" s="29"/>
      <c r="F521" s="29"/>
      <c r="G521" s="29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</row>
    <row r="522" spans="1:40" x14ac:dyDescent="0.2">
      <c r="A522" s="29"/>
      <c r="B522" s="20"/>
      <c r="C522" s="29"/>
      <c r="D522" s="29"/>
      <c r="E522" s="29"/>
      <c r="F522" s="29"/>
      <c r="G522" s="29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</row>
    <row r="523" spans="1:40" x14ac:dyDescent="0.2">
      <c r="A523" s="29"/>
      <c r="B523" s="20"/>
      <c r="C523" s="29"/>
      <c r="D523" s="29"/>
      <c r="E523" s="29"/>
      <c r="F523" s="29"/>
      <c r="G523" s="29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</row>
    <row r="524" spans="1:40" x14ac:dyDescent="0.2">
      <c r="A524" s="29"/>
      <c r="B524" s="20"/>
      <c r="C524" s="29"/>
      <c r="D524" s="29"/>
      <c r="E524" s="29"/>
      <c r="F524" s="29"/>
      <c r="G524" s="29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</row>
    <row r="525" spans="1:40" x14ac:dyDescent="0.2">
      <c r="A525" s="29"/>
      <c r="B525" s="20"/>
      <c r="C525" s="29"/>
      <c r="D525" s="29"/>
      <c r="E525" s="29"/>
      <c r="F525" s="29"/>
      <c r="G525" s="29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</row>
    <row r="526" spans="1:40" x14ac:dyDescent="0.2">
      <c r="A526" s="29"/>
      <c r="B526" s="20"/>
      <c r="C526" s="29"/>
      <c r="D526" s="29"/>
      <c r="E526" s="29"/>
      <c r="F526" s="29"/>
      <c r="G526" s="29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</row>
    <row r="527" spans="1:40" x14ac:dyDescent="0.2">
      <c r="A527" s="29"/>
      <c r="B527" s="20"/>
      <c r="C527" s="29"/>
      <c r="D527" s="29"/>
      <c r="E527" s="29"/>
      <c r="F527" s="29"/>
      <c r="G527" s="29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</row>
    <row r="528" spans="1:40" x14ac:dyDescent="0.2">
      <c r="A528" s="29"/>
      <c r="B528" s="20"/>
      <c r="C528" s="29"/>
      <c r="D528" s="29"/>
      <c r="E528" s="29"/>
      <c r="F528" s="29"/>
      <c r="G528" s="29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</row>
    <row r="529" spans="1:40" x14ac:dyDescent="0.2">
      <c r="A529" s="29"/>
      <c r="B529" s="20"/>
      <c r="C529" s="29"/>
      <c r="D529" s="29"/>
      <c r="E529" s="29"/>
      <c r="F529" s="29"/>
      <c r="G529" s="29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</row>
    <row r="530" spans="1:40" x14ac:dyDescent="0.2">
      <c r="A530" s="29"/>
      <c r="B530" s="20"/>
      <c r="C530" s="29"/>
      <c r="D530" s="29"/>
      <c r="E530" s="29"/>
      <c r="F530" s="29"/>
      <c r="G530" s="29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</row>
    <row r="531" spans="1:40" x14ac:dyDescent="0.2">
      <c r="A531" s="29"/>
      <c r="B531" s="20"/>
      <c r="C531" s="29"/>
      <c r="D531" s="29"/>
      <c r="E531" s="29"/>
      <c r="F531" s="29"/>
      <c r="G531" s="29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</row>
    <row r="532" spans="1:40" x14ac:dyDescent="0.2">
      <c r="A532" s="29"/>
      <c r="B532" s="20"/>
      <c r="C532" s="29"/>
      <c r="D532" s="29"/>
      <c r="E532" s="29"/>
      <c r="F532" s="29"/>
      <c r="G532" s="29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</row>
    <row r="533" spans="1:40" x14ac:dyDescent="0.2">
      <c r="A533" s="29"/>
      <c r="B533" s="20"/>
      <c r="C533" s="29"/>
      <c r="D533" s="29"/>
      <c r="E533" s="29"/>
      <c r="F533" s="29"/>
      <c r="G533" s="29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</row>
    <row r="534" spans="1:40" x14ac:dyDescent="0.2">
      <c r="A534" s="29"/>
      <c r="B534" s="20"/>
      <c r="C534" s="29"/>
      <c r="D534" s="29"/>
      <c r="E534" s="29"/>
      <c r="F534" s="29"/>
      <c r="G534" s="29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</row>
    <row r="535" spans="1:40" x14ac:dyDescent="0.2">
      <c r="A535" s="29"/>
      <c r="B535" s="20"/>
      <c r="C535" s="29"/>
      <c r="D535" s="29"/>
      <c r="E535" s="29"/>
      <c r="F535" s="29"/>
      <c r="G535" s="29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</row>
    <row r="536" spans="1:40" x14ac:dyDescent="0.2">
      <c r="A536" s="29"/>
      <c r="B536" s="20"/>
      <c r="C536" s="29"/>
      <c r="D536" s="29"/>
      <c r="E536" s="29"/>
      <c r="F536" s="29"/>
      <c r="G536" s="29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</row>
    <row r="537" spans="1:40" x14ac:dyDescent="0.2">
      <c r="A537" s="29"/>
      <c r="B537" s="20"/>
      <c r="C537" s="29"/>
      <c r="D537" s="29"/>
      <c r="E537" s="29"/>
      <c r="F537" s="29"/>
      <c r="G537" s="29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</row>
    <row r="538" spans="1:40" x14ac:dyDescent="0.2">
      <c r="A538" s="29"/>
      <c r="B538" s="20"/>
      <c r="C538" s="29"/>
      <c r="D538" s="29"/>
      <c r="E538" s="29"/>
      <c r="F538" s="29"/>
      <c r="G538" s="29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</row>
    <row r="539" spans="1:40" x14ac:dyDescent="0.2">
      <c r="A539" s="29"/>
      <c r="B539" s="20"/>
      <c r="C539" s="29"/>
      <c r="D539" s="29"/>
      <c r="E539" s="29"/>
      <c r="F539" s="29"/>
      <c r="G539" s="29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</row>
    <row r="540" spans="1:40" x14ac:dyDescent="0.2">
      <c r="A540" s="29"/>
      <c r="B540" s="20"/>
      <c r="C540" s="29"/>
      <c r="D540" s="29"/>
      <c r="E540" s="29"/>
      <c r="F540" s="29"/>
      <c r="G540" s="29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</row>
    <row r="541" spans="1:40" x14ac:dyDescent="0.2">
      <c r="A541" s="29"/>
      <c r="B541" s="20"/>
      <c r="C541" s="29"/>
      <c r="D541" s="29"/>
      <c r="E541" s="29"/>
      <c r="F541" s="29"/>
      <c r="G541" s="29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</row>
    <row r="542" spans="1:40" x14ac:dyDescent="0.2">
      <c r="A542" s="29"/>
      <c r="B542" s="20"/>
      <c r="C542" s="29"/>
      <c r="D542" s="29"/>
      <c r="E542" s="29"/>
      <c r="F542" s="29"/>
      <c r="G542" s="29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</row>
    <row r="543" spans="1:40" x14ac:dyDescent="0.2">
      <c r="A543" s="29"/>
      <c r="B543" s="20"/>
      <c r="C543" s="29"/>
      <c r="D543" s="29"/>
      <c r="E543" s="29"/>
      <c r="F543" s="29"/>
      <c r="G543" s="29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</row>
    <row r="544" spans="1:40" x14ac:dyDescent="0.2">
      <c r="A544" s="29"/>
      <c r="B544" s="20"/>
      <c r="C544" s="29"/>
      <c r="D544" s="29"/>
      <c r="E544" s="29"/>
      <c r="F544" s="29"/>
      <c r="G544" s="29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</row>
    <row r="545" spans="1:40" x14ac:dyDescent="0.2">
      <c r="A545" s="29"/>
      <c r="B545" s="20"/>
      <c r="C545" s="29"/>
      <c r="D545" s="29"/>
      <c r="E545" s="29"/>
      <c r="F545" s="29"/>
      <c r="G545" s="29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</row>
    <row r="546" spans="1:40" x14ac:dyDescent="0.2">
      <c r="A546" s="29"/>
      <c r="B546" s="20"/>
      <c r="C546" s="29"/>
      <c r="D546" s="29"/>
      <c r="E546" s="29"/>
      <c r="F546" s="29"/>
      <c r="G546" s="29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</row>
    <row r="547" spans="1:40" x14ac:dyDescent="0.2">
      <c r="A547" s="29"/>
      <c r="B547" s="20"/>
      <c r="C547" s="29"/>
      <c r="D547" s="29"/>
      <c r="E547" s="29"/>
      <c r="F547" s="29"/>
      <c r="G547" s="29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</row>
    <row r="548" spans="1:40" x14ac:dyDescent="0.2">
      <c r="A548" s="29"/>
      <c r="B548" s="20"/>
      <c r="C548" s="29"/>
      <c r="D548" s="29"/>
      <c r="E548" s="29"/>
      <c r="F548" s="29"/>
      <c r="G548" s="29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</row>
    <row r="549" spans="1:40" x14ac:dyDescent="0.2">
      <c r="A549" s="29"/>
      <c r="B549" s="20"/>
      <c r="C549" s="29"/>
      <c r="D549" s="29"/>
      <c r="E549" s="29"/>
      <c r="F549" s="29"/>
      <c r="G549" s="29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</row>
    <row r="550" spans="1:40" x14ac:dyDescent="0.2">
      <c r="A550" s="29"/>
      <c r="B550" s="20"/>
      <c r="C550" s="29"/>
      <c r="D550" s="29"/>
      <c r="E550" s="29"/>
      <c r="F550" s="29"/>
      <c r="G550" s="29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</row>
    <row r="551" spans="1:40" x14ac:dyDescent="0.2">
      <c r="A551" s="29"/>
      <c r="B551" s="20"/>
      <c r="C551" s="29"/>
      <c r="D551" s="29"/>
      <c r="E551" s="29"/>
      <c r="F551" s="29"/>
      <c r="G551" s="29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</row>
    <row r="552" spans="1:40" x14ac:dyDescent="0.2">
      <c r="A552" s="29"/>
      <c r="B552" s="20"/>
      <c r="C552" s="29"/>
      <c r="D552" s="29"/>
      <c r="E552" s="29"/>
      <c r="F552" s="29"/>
      <c r="G552" s="29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</row>
    <row r="553" spans="1:40" x14ac:dyDescent="0.2">
      <c r="A553" s="29"/>
      <c r="B553" s="20"/>
      <c r="C553" s="29"/>
      <c r="D553" s="29"/>
      <c r="E553" s="29"/>
      <c r="F553" s="29"/>
      <c r="G553" s="29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</row>
    <row r="554" spans="1:40" x14ac:dyDescent="0.2">
      <c r="A554" s="29"/>
      <c r="B554" s="20"/>
      <c r="C554" s="29"/>
      <c r="D554" s="29"/>
      <c r="E554" s="29"/>
      <c r="F554" s="29"/>
      <c r="G554" s="29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</row>
    <row r="555" spans="1:40" x14ac:dyDescent="0.2">
      <c r="A555" s="29"/>
      <c r="B555" s="20"/>
      <c r="C555" s="29"/>
      <c r="D555" s="29"/>
      <c r="E555" s="29"/>
      <c r="F555" s="29"/>
      <c r="G555" s="29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</row>
    <row r="556" spans="1:40" x14ac:dyDescent="0.2">
      <c r="A556" s="29"/>
      <c r="B556" s="20"/>
      <c r="C556" s="29"/>
      <c r="D556" s="29"/>
      <c r="E556" s="29"/>
      <c r="F556" s="29"/>
      <c r="G556" s="29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</row>
    <row r="557" spans="1:40" x14ac:dyDescent="0.2">
      <c r="A557" s="29"/>
      <c r="B557" s="20"/>
      <c r="C557" s="29"/>
      <c r="D557" s="29"/>
      <c r="E557" s="29"/>
      <c r="F557" s="29"/>
      <c r="G557" s="29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</row>
    <row r="558" spans="1:40" x14ac:dyDescent="0.2">
      <c r="A558" s="29"/>
      <c r="B558" s="20"/>
      <c r="C558" s="29"/>
      <c r="D558" s="29"/>
      <c r="E558" s="29"/>
      <c r="F558" s="29"/>
      <c r="G558" s="29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</row>
    <row r="559" spans="1:40" x14ac:dyDescent="0.2">
      <c r="A559" s="29"/>
      <c r="B559" s="20"/>
      <c r="C559" s="29"/>
      <c r="D559" s="29"/>
      <c r="E559" s="29"/>
      <c r="F559" s="29"/>
      <c r="G559" s="29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</row>
    <row r="560" spans="1:40" x14ac:dyDescent="0.2">
      <c r="A560" s="29"/>
      <c r="B560" s="20"/>
      <c r="C560" s="29"/>
      <c r="D560" s="29"/>
      <c r="E560" s="29"/>
      <c r="F560" s="29"/>
      <c r="G560" s="29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</row>
    <row r="561" spans="1:40" x14ac:dyDescent="0.2">
      <c r="A561" s="29"/>
      <c r="B561" s="20"/>
      <c r="C561" s="29"/>
      <c r="D561" s="29"/>
      <c r="E561" s="29"/>
      <c r="F561" s="29"/>
      <c r="G561" s="29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</row>
    <row r="562" spans="1:40" x14ac:dyDescent="0.2">
      <c r="A562" s="29"/>
      <c r="B562" s="20"/>
      <c r="C562" s="29"/>
      <c r="D562" s="29"/>
      <c r="E562" s="29"/>
      <c r="F562" s="29"/>
      <c r="G562" s="29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</row>
    <row r="563" spans="1:40" x14ac:dyDescent="0.2">
      <c r="A563" s="29"/>
      <c r="B563" s="20"/>
      <c r="C563" s="29"/>
      <c r="D563" s="29"/>
      <c r="E563" s="29"/>
      <c r="F563" s="29"/>
      <c r="G563" s="29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</row>
    <row r="564" spans="1:40" x14ac:dyDescent="0.2">
      <c r="A564" s="29"/>
      <c r="B564" s="20"/>
      <c r="C564" s="29"/>
      <c r="D564" s="29"/>
      <c r="E564" s="29"/>
      <c r="F564" s="29"/>
      <c r="G564" s="29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</row>
    <row r="565" spans="1:40" x14ac:dyDescent="0.2">
      <c r="A565" s="29"/>
      <c r="B565" s="20"/>
      <c r="C565" s="29"/>
      <c r="D565" s="29"/>
      <c r="E565" s="29"/>
      <c r="F565" s="29"/>
      <c r="G565" s="29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</row>
    <row r="566" spans="1:40" x14ac:dyDescent="0.2">
      <c r="A566" s="29"/>
      <c r="B566" s="20"/>
      <c r="C566" s="29"/>
      <c r="D566" s="29"/>
      <c r="E566" s="29"/>
      <c r="F566" s="29"/>
      <c r="G566" s="29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</row>
    <row r="567" spans="1:40" x14ac:dyDescent="0.2">
      <c r="A567" s="29"/>
      <c r="B567" s="20"/>
      <c r="C567" s="29"/>
      <c r="D567" s="29"/>
      <c r="E567" s="29"/>
      <c r="F567" s="29"/>
      <c r="G567" s="29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</row>
    <row r="568" spans="1:40" x14ac:dyDescent="0.2">
      <c r="A568" s="29"/>
      <c r="B568" s="20"/>
      <c r="C568" s="29"/>
      <c r="D568" s="29"/>
      <c r="E568" s="29"/>
      <c r="F568" s="29"/>
      <c r="G568" s="29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</row>
    <row r="569" spans="1:40" x14ac:dyDescent="0.2">
      <c r="A569" s="29"/>
      <c r="B569" s="20"/>
      <c r="C569" s="29"/>
      <c r="D569" s="29"/>
      <c r="E569" s="29"/>
      <c r="F569" s="29"/>
      <c r="G569" s="29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</row>
    <row r="570" spans="1:40" x14ac:dyDescent="0.2">
      <c r="A570" s="29"/>
      <c r="B570" s="20"/>
      <c r="C570" s="29"/>
      <c r="D570" s="29"/>
      <c r="E570" s="29"/>
      <c r="F570" s="29"/>
      <c r="G570" s="29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</row>
    <row r="571" spans="1:40" x14ac:dyDescent="0.2">
      <c r="A571" s="29"/>
      <c r="B571" s="20"/>
      <c r="C571" s="29"/>
      <c r="D571" s="29"/>
      <c r="E571" s="29"/>
      <c r="F571" s="29"/>
      <c r="G571" s="29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</row>
    <row r="572" spans="1:40" x14ac:dyDescent="0.2">
      <c r="A572" s="29"/>
      <c r="B572" s="20"/>
      <c r="C572" s="29"/>
      <c r="D572" s="29"/>
      <c r="E572" s="29"/>
      <c r="F572" s="29"/>
      <c r="G572" s="29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</row>
    <row r="573" spans="1:40" x14ac:dyDescent="0.2">
      <c r="A573" s="29"/>
      <c r="B573" s="20"/>
      <c r="C573" s="29"/>
      <c r="D573" s="29"/>
      <c r="E573" s="29"/>
      <c r="F573" s="29"/>
      <c r="G573" s="29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</row>
    <row r="574" spans="1:40" x14ac:dyDescent="0.2">
      <c r="A574" s="29"/>
      <c r="B574" s="20"/>
      <c r="C574" s="29"/>
      <c r="D574" s="29"/>
      <c r="E574" s="29"/>
      <c r="F574" s="29"/>
      <c r="G574" s="29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</row>
    <row r="575" spans="1:40" x14ac:dyDescent="0.2">
      <c r="A575" s="29"/>
      <c r="B575" s="20"/>
      <c r="C575" s="29"/>
      <c r="D575" s="29"/>
      <c r="E575" s="29"/>
      <c r="F575" s="29"/>
      <c r="G575" s="29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</row>
    <row r="576" spans="1:40" x14ac:dyDescent="0.2">
      <c r="A576" s="29"/>
      <c r="B576" s="20"/>
      <c r="C576" s="29"/>
      <c r="D576" s="29"/>
      <c r="E576" s="29"/>
      <c r="F576" s="29"/>
      <c r="G576" s="29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</row>
    <row r="577" spans="1:40" x14ac:dyDescent="0.2">
      <c r="A577" s="29"/>
      <c r="B577" s="20"/>
      <c r="C577" s="29"/>
      <c r="D577" s="29"/>
      <c r="E577" s="29"/>
      <c r="F577" s="29"/>
      <c r="G577" s="29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</row>
    <row r="578" spans="1:40" x14ac:dyDescent="0.2">
      <c r="A578" s="29"/>
      <c r="B578" s="20"/>
      <c r="C578" s="29"/>
      <c r="D578" s="29"/>
      <c r="E578" s="29"/>
      <c r="F578" s="29"/>
      <c r="G578" s="29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</row>
    <row r="579" spans="1:40" x14ac:dyDescent="0.2">
      <c r="A579" s="29"/>
      <c r="B579" s="20"/>
      <c r="C579" s="29"/>
      <c r="D579" s="29"/>
      <c r="E579" s="29"/>
      <c r="F579" s="29"/>
      <c r="G579" s="29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</row>
    <row r="580" spans="1:40" x14ac:dyDescent="0.2">
      <c r="A580" s="29"/>
      <c r="B580" s="20"/>
      <c r="C580" s="29"/>
      <c r="D580" s="29"/>
      <c r="E580" s="29"/>
      <c r="F580" s="29"/>
      <c r="G580" s="29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</row>
    <row r="581" spans="1:40" x14ac:dyDescent="0.2">
      <c r="A581" s="29"/>
      <c r="B581" s="20"/>
      <c r="C581" s="29"/>
      <c r="D581" s="29"/>
      <c r="E581" s="29"/>
      <c r="F581" s="29"/>
      <c r="G581" s="29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</row>
    <row r="582" spans="1:40" x14ac:dyDescent="0.2">
      <c r="A582" s="29"/>
      <c r="B582" s="20"/>
      <c r="C582" s="29"/>
      <c r="D582" s="29"/>
      <c r="E582" s="29"/>
      <c r="F582" s="29"/>
      <c r="G582" s="29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</row>
    <row r="583" spans="1:40" x14ac:dyDescent="0.2">
      <c r="A583" s="29"/>
      <c r="B583" s="20"/>
      <c r="C583" s="29"/>
      <c r="D583" s="29"/>
      <c r="E583" s="29"/>
      <c r="F583" s="29"/>
      <c r="G583" s="29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</row>
    <row r="584" spans="1:40" x14ac:dyDescent="0.2">
      <c r="A584" s="29"/>
      <c r="B584" s="20"/>
      <c r="C584" s="29"/>
      <c r="D584" s="29"/>
      <c r="E584" s="29"/>
      <c r="F584" s="29"/>
      <c r="G584" s="29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</row>
    <row r="585" spans="1:40" x14ac:dyDescent="0.2">
      <c r="A585" s="29"/>
      <c r="B585" s="20"/>
      <c r="C585" s="29"/>
      <c r="D585" s="29"/>
      <c r="E585" s="29"/>
      <c r="F585" s="29"/>
      <c r="G585" s="29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</row>
    <row r="586" spans="1:40" x14ac:dyDescent="0.2">
      <c r="A586" s="29"/>
      <c r="B586" s="20"/>
      <c r="C586" s="29"/>
      <c r="D586" s="29"/>
      <c r="E586" s="29"/>
      <c r="F586" s="29"/>
      <c r="G586" s="29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</row>
    <row r="587" spans="1:40" x14ac:dyDescent="0.2">
      <c r="A587" s="29"/>
      <c r="B587" s="20"/>
      <c r="C587" s="29"/>
      <c r="D587" s="29"/>
      <c r="E587" s="29"/>
      <c r="F587" s="29"/>
      <c r="G587" s="29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</row>
    <row r="588" spans="1:40" x14ac:dyDescent="0.2">
      <c r="A588" s="29"/>
      <c r="B588" s="20"/>
      <c r="C588" s="29"/>
      <c r="D588" s="29"/>
      <c r="E588" s="29"/>
      <c r="F588" s="29"/>
      <c r="G588" s="29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</row>
    <row r="589" spans="1:40" x14ac:dyDescent="0.2">
      <c r="A589" s="29"/>
      <c r="B589" s="20"/>
      <c r="C589" s="29"/>
      <c r="D589" s="29"/>
      <c r="E589" s="29"/>
      <c r="F589" s="29"/>
      <c r="G589" s="29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</row>
    <row r="590" spans="1:40" x14ac:dyDescent="0.2">
      <c r="A590" s="29"/>
      <c r="B590" s="20"/>
      <c r="C590" s="29"/>
      <c r="D590" s="29"/>
      <c r="E590" s="29"/>
      <c r="F590" s="29"/>
      <c r="G590" s="29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</row>
    <row r="591" spans="1:40" x14ac:dyDescent="0.2">
      <c r="A591" s="29"/>
      <c r="B591" s="20"/>
      <c r="C591" s="29"/>
      <c r="D591" s="29"/>
      <c r="E591" s="29"/>
      <c r="F591" s="29"/>
      <c r="G591" s="29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</row>
    <row r="592" spans="1:40" x14ac:dyDescent="0.2">
      <c r="A592" s="29"/>
      <c r="B592" s="20"/>
      <c r="C592" s="29"/>
      <c r="D592" s="29"/>
      <c r="E592" s="29"/>
      <c r="F592" s="29"/>
      <c r="G592" s="29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</row>
    <row r="593" spans="1:40" x14ac:dyDescent="0.2">
      <c r="A593" s="29"/>
      <c r="B593" s="20"/>
      <c r="C593" s="29"/>
      <c r="D593" s="29"/>
      <c r="E593" s="29"/>
      <c r="F593" s="29"/>
      <c r="G593" s="29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</row>
    <row r="594" spans="1:40" x14ac:dyDescent="0.2">
      <c r="A594" s="29"/>
      <c r="B594" s="20"/>
      <c r="C594" s="29"/>
      <c r="D594" s="29"/>
      <c r="E594" s="29"/>
      <c r="F594" s="29"/>
      <c r="G594" s="29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</row>
    <row r="595" spans="1:40" x14ac:dyDescent="0.2">
      <c r="A595" s="29"/>
      <c r="B595" s="20"/>
      <c r="C595" s="29"/>
      <c r="D595" s="29"/>
      <c r="E595" s="29"/>
      <c r="F595" s="29"/>
      <c r="G595" s="29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</row>
    <row r="596" spans="1:40" x14ac:dyDescent="0.2">
      <c r="A596" s="29"/>
      <c r="B596" s="20"/>
      <c r="C596" s="29"/>
      <c r="D596" s="29"/>
      <c r="E596" s="29"/>
      <c r="F596" s="29"/>
      <c r="G596" s="29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</row>
    <row r="597" spans="1:40" x14ac:dyDescent="0.2">
      <c r="A597" s="29"/>
      <c r="B597" s="20"/>
      <c r="C597" s="29"/>
      <c r="D597" s="29"/>
      <c r="E597" s="29"/>
      <c r="F597" s="29"/>
      <c r="G597" s="29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</row>
    <row r="598" spans="1:40" x14ac:dyDescent="0.2">
      <c r="A598" s="29"/>
      <c r="B598" s="20"/>
      <c r="C598" s="29"/>
      <c r="D598" s="29"/>
      <c r="E598" s="29"/>
      <c r="F598" s="29"/>
      <c r="G598" s="29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</row>
    <row r="599" spans="1:40" x14ac:dyDescent="0.2">
      <c r="A599" s="29"/>
      <c r="B599" s="20"/>
      <c r="C599" s="29"/>
      <c r="D599" s="29"/>
      <c r="E599" s="29"/>
      <c r="F599" s="29"/>
      <c r="G599" s="29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</row>
    <row r="600" spans="1:40" x14ac:dyDescent="0.2">
      <c r="A600" s="29"/>
      <c r="B600" s="20"/>
      <c r="C600" s="29"/>
      <c r="D600" s="29"/>
      <c r="E600" s="29"/>
      <c r="F600" s="29"/>
      <c r="G600" s="29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</row>
    <row r="601" spans="1:40" x14ac:dyDescent="0.2">
      <c r="A601" s="29"/>
      <c r="B601" s="20"/>
      <c r="C601" s="29"/>
      <c r="D601" s="29"/>
      <c r="E601" s="29"/>
      <c r="F601" s="29"/>
      <c r="G601" s="29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</row>
    <row r="602" spans="1:40" x14ac:dyDescent="0.2">
      <c r="A602" s="29"/>
      <c r="B602" s="20"/>
      <c r="C602" s="29"/>
      <c r="D602" s="29"/>
      <c r="E602" s="29"/>
      <c r="F602" s="29"/>
      <c r="G602" s="29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</row>
    <row r="603" spans="1:40" x14ac:dyDescent="0.2">
      <c r="A603" s="29"/>
      <c r="B603" s="20"/>
      <c r="C603" s="29"/>
      <c r="D603" s="29"/>
      <c r="E603" s="29"/>
      <c r="F603" s="29"/>
      <c r="G603" s="29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</row>
    <row r="604" spans="1:40" x14ac:dyDescent="0.2">
      <c r="A604" s="29"/>
      <c r="B604" s="20"/>
      <c r="C604" s="29"/>
      <c r="D604" s="29"/>
      <c r="E604" s="29"/>
      <c r="F604" s="29"/>
      <c r="G604" s="29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</row>
    <row r="605" spans="1:40" x14ac:dyDescent="0.2">
      <c r="A605" s="29"/>
      <c r="B605" s="20"/>
      <c r="C605" s="29"/>
      <c r="D605" s="29"/>
      <c r="E605" s="29"/>
      <c r="F605" s="29"/>
      <c r="G605" s="29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</row>
    <row r="606" spans="1:40" x14ac:dyDescent="0.2">
      <c r="A606" s="29"/>
      <c r="B606" s="20"/>
      <c r="C606" s="29"/>
      <c r="D606" s="29"/>
      <c r="E606" s="29"/>
      <c r="F606" s="29"/>
      <c r="G606" s="29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</row>
    <row r="607" spans="1:40" x14ac:dyDescent="0.2">
      <c r="A607" s="29"/>
      <c r="B607" s="20"/>
      <c r="C607" s="29"/>
      <c r="D607" s="29"/>
      <c r="E607" s="29"/>
      <c r="F607" s="29"/>
      <c r="G607" s="29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</row>
    <row r="608" spans="1:40" x14ac:dyDescent="0.2">
      <c r="A608" s="29"/>
      <c r="B608" s="20"/>
      <c r="C608" s="29"/>
      <c r="D608" s="29"/>
      <c r="E608" s="29"/>
      <c r="F608" s="29"/>
      <c r="G608" s="29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</row>
    <row r="609" spans="1:40" x14ac:dyDescent="0.2">
      <c r="A609" s="29"/>
      <c r="B609" s="20"/>
      <c r="C609" s="29"/>
      <c r="D609" s="29"/>
      <c r="E609" s="29"/>
      <c r="F609" s="29"/>
      <c r="G609" s="29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</row>
    <row r="610" spans="1:40" x14ac:dyDescent="0.2">
      <c r="A610" s="29"/>
      <c r="B610" s="20"/>
      <c r="C610" s="29"/>
      <c r="D610" s="29"/>
      <c r="E610" s="29"/>
      <c r="F610" s="29"/>
      <c r="G610" s="29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</row>
    <row r="611" spans="1:40" x14ac:dyDescent="0.2">
      <c r="A611" s="29"/>
      <c r="B611" s="20"/>
      <c r="C611" s="29"/>
      <c r="D611" s="29"/>
      <c r="E611" s="29"/>
      <c r="F611" s="29"/>
      <c r="G611" s="29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</row>
    <row r="612" spans="1:40" x14ac:dyDescent="0.2">
      <c r="A612" s="29"/>
      <c r="B612" s="20"/>
      <c r="C612" s="29"/>
      <c r="D612" s="29"/>
      <c r="E612" s="29"/>
      <c r="F612" s="29"/>
      <c r="G612" s="29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</row>
    <row r="613" spans="1:40" x14ac:dyDescent="0.2">
      <c r="A613" s="29"/>
      <c r="B613" s="20"/>
      <c r="C613" s="29"/>
      <c r="D613" s="29"/>
      <c r="E613" s="29"/>
      <c r="F613" s="29"/>
      <c r="G613" s="29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</row>
    <row r="614" spans="1:40" x14ac:dyDescent="0.2">
      <c r="A614" s="29"/>
      <c r="B614" s="20"/>
      <c r="C614" s="29"/>
      <c r="D614" s="29"/>
      <c r="E614" s="29"/>
      <c r="F614" s="29"/>
      <c r="G614" s="29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</row>
    <row r="615" spans="1:40" x14ac:dyDescent="0.2">
      <c r="A615" s="29"/>
      <c r="B615" s="20"/>
      <c r="C615" s="29"/>
      <c r="D615" s="29"/>
      <c r="E615" s="29"/>
      <c r="F615" s="29"/>
      <c r="G615" s="29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</row>
    <row r="616" spans="1:40" x14ac:dyDescent="0.2">
      <c r="A616" s="29"/>
      <c r="B616" s="20"/>
      <c r="C616" s="29"/>
      <c r="D616" s="29"/>
      <c r="E616" s="29"/>
      <c r="F616" s="29"/>
      <c r="G616" s="29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</row>
    <row r="617" spans="1:40" x14ac:dyDescent="0.2">
      <c r="A617" s="29"/>
      <c r="B617" s="20"/>
      <c r="C617" s="29"/>
      <c r="D617" s="29"/>
      <c r="E617" s="29"/>
      <c r="F617" s="29"/>
      <c r="G617" s="29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</row>
    <row r="618" spans="1:40" x14ac:dyDescent="0.2">
      <c r="A618" s="29"/>
      <c r="B618" s="20"/>
      <c r="C618" s="29"/>
      <c r="D618" s="29"/>
      <c r="E618" s="29"/>
      <c r="F618" s="29"/>
      <c r="G618" s="29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</row>
    <row r="619" spans="1:40" x14ac:dyDescent="0.2">
      <c r="A619" s="29"/>
      <c r="B619" s="20"/>
      <c r="C619" s="29"/>
      <c r="D619" s="29"/>
      <c r="E619" s="29"/>
      <c r="F619" s="29"/>
      <c r="G619" s="29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</row>
    <row r="620" spans="1:40" x14ac:dyDescent="0.2">
      <c r="A620" s="29"/>
      <c r="B620" s="20"/>
      <c r="C620" s="29"/>
      <c r="D620" s="29"/>
      <c r="E620" s="29"/>
      <c r="F620" s="29"/>
      <c r="G620" s="29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</row>
    <row r="621" spans="1:40" x14ac:dyDescent="0.2">
      <c r="A621" s="29"/>
      <c r="B621" s="20"/>
      <c r="C621" s="29"/>
      <c r="D621" s="29"/>
      <c r="E621" s="29"/>
      <c r="F621" s="29"/>
      <c r="G621" s="29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</row>
    <row r="622" spans="1:40" x14ac:dyDescent="0.2">
      <c r="A622" s="29"/>
      <c r="B622" s="20"/>
      <c r="C622" s="29"/>
      <c r="D622" s="29"/>
      <c r="E622" s="29"/>
      <c r="F622" s="29"/>
      <c r="G622" s="29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</row>
    <row r="623" spans="1:40" x14ac:dyDescent="0.2">
      <c r="A623" s="29"/>
      <c r="B623" s="20"/>
      <c r="C623" s="29"/>
      <c r="D623" s="29"/>
      <c r="E623" s="29"/>
      <c r="F623" s="29"/>
      <c r="G623" s="29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</row>
    <row r="624" spans="1:40" x14ac:dyDescent="0.2">
      <c r="A624" s="29"/>
      <c r="B624" s="20"/>
      <c r="C624" s="29"/>
      <c r="D624" s="29"/>
      <c r="E624" s="29"/>
      <c r="F624" s="29"/>
      <c r="G624" s="29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</row>
    <row r="625" spans="1:40" x14ac:dyDescent="0.2">
      <c r="A625" s="29"/>
      <c r="B625" s="20"/>
      <c r="C625" s="29"/>
      <c r="D625" s="29"/>
      <c r="E625" s="29"/>
      <c r="F625" s="29"/>
      <c r="G625" s="29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</row>
    <row r="626" spans="1:40" x14ac:dyDescent="0.2">
      <c r="A626" s="29"/>
      <c r="B626" s="20"/>
      <c r="C626" s="29"/>
      <c r="D626" s="29"/>
      <c r="E626" s="29"/>
      <c r="F626" s="29"/>
      <c r="G626" s="29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</row>
    <row r="627" spans="1:40" x14ac:dyDescent="0.2">
      <c r="A627" s="29"/>
      <c r="B627" s="20"/>
      <c r="C627" s="29"/>
      <c r="D627" s="29"/>
      <c r="E627" s="29"/>
      <c r="F627" s="29"/>
      <c r="G627" s="29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</row>
    <row r="628" spans="1:40" x14ac:dyDescent="0.2">
      <c r="A628" s="29"/>
      <c r="B628" s="20"/>
      <c r="C628" s="29"/>
      <c r="D628" s="29"/>
      <c r="E628" s="29"/>
      <c r="F628" s="29"/>
      <c r="G628" s="29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</row>
    <row r="629" spans="1:40" x14ac:dyDescent="0.2">
      <c r="A629" s="29"/>
      <c r="B629" s="20"/>
      <c r="C629" s="29"/>
      <c r="D629" s="29"/>
      <c r="E629" s="29"/>
      <c r="F629" s="29"/>
      <c r="G629" s="29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</row>
    <row r="630" spans="1:40" x14ac:dyDescent="0.2">
      <c r="A630" s="29"/>
      <c r="B630" s="20"/>
      <c r="C630" s="29"/>
      <c r="D630" s="29"/>
      <c r="E630" s="29"/>
      <c r="F630" s="29"/>
      <c r="G630" s="29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</row>
    <row r="631" spans="1:40" x14ac:dyDescent="0.2">
      <c r="A631" s="29"/>
      <c r="B631" s="20"/>
      <c r="C631" s="29"/>
      <c r="D631" s="29"/>
      <c r="E631" s="29"/>
      <c r="F631" s="29"/>
      <c r="G631" s="29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</row>
    <row r="632" spans="1:40" x14ac:dyDescent="0.2">
      <c r="A632" s="29"/>
      <c r="B632" s="20"/>
      <c r="C632" s="29"/>
      <c r="D632" s="29"/>
      <c r="E632" s="29"/>
      <c r="F632" s="29"/>
      <c r="G632" s="29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</row>
    <row r="633" spans="1:40" x14ac:dyDescent="0.2">
      <c r="A633" s="29"/>
      <c r="B633" s="20"/>
      <c r="C633" s="29"/>
      <c r="D633" s="29"/>
      <c r="E633" s="29"/>
      <c r="F633" s="29"/>
      <c r="G633" s="29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</row>
    <row r="634" spans="1:40" x14ac:dyDescent="0.2">
      <c r="A634" s="29"/>
      <c r="B634" s="20"/>
      <c r="C634" s="29"/>
      <c r="D634" s="29"/>
      <c r="E634" s="29"/>
      <c r="F634" s="29"/>
      <c r="G634" s="29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</row>
    <row r="635" spans="1:40" x14ac:dyDescent="0.2">
      <c r="A635" s="29"/>
      <c r="B635" s="20"/>
      <c r="C635" s="29"/>
      <c r="D635" s="29"/>
      <c r="E635" s="29"/>
      <c r="F635" s="29"/>
      <c r="G635" s="29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</row>
    <row r="636" spans="1:40" x14ac:dyDescent="0.2">
      <c r="A636" s="29"/>
      <c r="B636" s="20"/>
      <c r="C636" s="29"/>
      <c r="D636" s="29"/>
      <c r="E636" s="29"/>
      <c r="F636" s="29"/>
      <c r="G636" s="29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</row>
    <row r="637" spans="1:40" x14ac:dyDescent="0.2">
      <c r="A637" s="29"/>
      <c r="B637" s="20"/>
      <c r="C637" s="29"/>
      <c r="D637" s="29"/>
      <c r="E637" s="29"/>
      <c r="F637" s="29"/>
      <c r="G637" s="29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</row>
    <row r="638" spans="1:40" x14ac:dyDescent="0.2">
      <c r="A638" s="29"/>
      <c r="B638" s="20"/>
      <c r="C638" s="29"/>
      <c r="D638" s="29"/>
      <c r="E638" s="29"/>
      <c r="F638" s="29"/>
      <c r="G638" s="29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</row>
    <row r="639" spans="1:40" x14ac:dyDescent="0.2">
      <c r="A639" s="29"/>
      <c r="B639" s="20"/>
      <c r="C639" s="29"/>
      <c r="D639" s="29"/>
      <c r="E639" s="29"/>
      <c r="F639" s="29"/>
      <c r="G639" s="29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</row>
    <row r="640" spans="1:40" x14ac:dyDescent="0.2">
      <c r="A640" s="29"/>
      <c r="B640" s="20"/>
      <c r="C640" s="29"/>
      <c r="D640" s="29"/>
      <c r="E640" s="29"/>
      <c r="F640" s="29"/>
      <c r="G640" s="29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</row>
    <row r="641" spans="1:40" x14ac:dyDescent="0.2">
      <c r="A641" s="29"/>
      <c r="B641" s="20"/>
      <c r="C641" s="29"/>
      <c r="D641" s="29"/>
      <c r="E641" s="29"/>
      <c r="F641" s="29"/>
      <c r="G641" s="29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</row>
    <row r="642" spans="1:40" x14ac:dyDescent="0.2">
      <c r="A642" s="29"/>
      <c r="B642" s="20"/>
      <c r="C642" s="29"/>
      <c r="D642" s="29"/>
      <c r="E642" s="29"/>
      <c r="F642" s="29"/>
      <c r="G642" s="29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</row>
    <row r="643" spans="1:40" x14ac:dyDescent="0.2">
      <c r="A643" s="29"/>
      <c r="B643" s="20"/>
      <c r="C643" s="29"/>
      <c r="D643" s="29"/>
      <c r="E643" s="29"/>
      <c r="F643" s="29"/>
      <c r="G643" s="29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</row>
    <row r="644" spans="1:40" x14ac:dyDescent="0.2">
      <c r="A644" s="29"/>
      <c r="B644" s="20"/>
      <c r="C644" s="29"/>
      <c r="D644" s="29"/>
      <c r="E644" s="29"/>
      <c r="F644" s="29"/>
      <c r="G644" s="29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</row>
    <row r="645" spans="1:40" x14ac:dyDescent="0.2">
      <c r="A645" s="29"/>
      <c r="B645" s="20"/>
      <c r="C645" s="29"/>
      <c r="D645" s="29"/>
      <c r="E645" s="29"/>
      <c r="F645" s="29"/>
      <c r="G645" s="29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</row>
    <row r="646" spans="1:40" x14ac:dyDescent="0.2">
      <c r="A646" s="29"/>
      <c r="B646" s="20"/>
      <c r="C646" s="29"/>
      <c r="D646" s="29"/>
      <c r="E646" s="29"/>
      <c r="F646" s="29"/>
      <c r="G646" s="29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</row>
    <row r="647" spans="1:40" x14ac:dyDescent="0.2">
      <c r="A647" s="29"/>
      <c r="B647" s="20"/>
      <c r="C647" s="29"/>
      <c r="D647" s="29"/>
      <c r="E647" s="29"/>
      <c r="F647" s="29"/>
      <c r="G647" s="29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</row>
    <row r="648" spans="1:40" x14ac:dyDescent="0.2">
      <c r="A648" s="29"/>
      <c r="B648" s="20"/>
      <c r="C648" s="29"/>
      <c r="D648" s="29"/>
      <c r="E648" s="29"/>
      <c r="F648" s="29"/>
      <c r="G648" s="29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</row>
    <row r="649" spans="1:40" x14ac:dyDescent="0.2">
      <c r="A649" s="29"/>
      <c r="B649" s="20"/>
      <c r="C649" s="29"/>
      <c r="D649" s="29"/>
      <c r="E649" s="29"/>
      <c r="F649" s="29"/>
      <c r="G649" s="29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</row>
    <row r="650" spans="1:40" x14ac:dyDescent="0.2">
      <c r="A650" s="29"/>
      <c r="B650" s="20"/>
      <c r="C650" s="29"/>
      <c r="D650" s="29"/>
      <c r="E650" s="29"/>
      <c r="F650" s="29"/>
      <c r="G650" s="29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</row>
    <row r="651" spans="1:40" x14ac:dyDescent="0.2">
      <c r="A651" s="29"/>
      <c r="B651" s="20"/>
      <c r="C651" s="29"/>
      <c r="D651" s="29"/>
      <c r="E651" s="29"/>
      <c r="F651" s="29"/>
      <c r="G651" s="29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</row>
    <row r="652" spans="1:40" x14ac:dyDescent="0.2">
      <c r="A652" s="29"/>
      <c r="B652" s="20"/>
      <c r="C652" s="29"/>
      <c r="D652" s="29"/>
      <c r="E652" s="29"/>
      <c r="F652" s="29"/>
      <c r="G652" s="29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</row>
    <row r="653" spans="1:40" x14ac:dyDescent="0.2">
      <c r="A653" s="29"/>
      <c r="B653" s="20"/>
      <c r="C653" s="29"/>
      <c r="D653" s="29"/>
      <c r="E653" s="29"/>
      <c r="F653" s="29"/>
      <c r="G653" s="29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</row>
    <row r="654" spans="1:40" x14ac:dyDescent="0.2">
      <c r="A654" s="29"/>
      <c r="B654" s="20"/>
      <c r="C654" s="29"/>
      <c r="D654" s="29"/>
      <c r="E654" s="29"/>
      <c r="F654" s="29"/>
      <c r="G654" s="29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</row>
    <row r="655" spans="1:40" x14ac:dyDescent="0.2">
      <c r="A655" s="29"/>
      <c r="B655" s="20"/>
      <c r="C655" s="29"/>
      <c r="D655" s="29"/>
      <c r="E655" s="29"/>
      <c r="F655" s="29"/>
      <c r="G655" s="29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</row>
    <row r="656" spans="1:40" x14ac:dyDescent="0.2">
      <c r="A656" s="29"/>
      <c r="B656" s="20"/>
      <c r="C656" s="29"/>
      <c r="D656" s="29"/>
      <c r="E656" s="29"/>
      <c r="F656" s="29"/>
      <c r="G656" s="29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</row>
    <row r="657" spans="1:40" x14ac:dyDescent="0.2">
      <c r="A657" s="29"/>
      <c r="B657" s="20"/>
      <c r="C657" s="29"/>
      <c r="D657" s="29"/>
      <c r="E657" s="29"/>
      <c r="F657" s="29"/>
      <c r="G657" s="29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</row>
    <row r="658" spans="1:40" x14ac:dyDescent="0.2">
      <c r="A658" s="29"/>
      <c r="B658" s="20"/>
      <c r="C658" s="29"/>
      <c r="D658" s="29"/>
      <c r="E658" s="29"/>
      <c r="F658" s="29"/>
      <c r="G658" s="29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</row>
    <row r="659" spans="1:40" x14ac:dyDescent="0.2">
      <c r="A659" s="29"/>
      <c r="B659" s="20"/>
      <c r="C659" s="29"/>
      <c r="D659" s="29"/>
      <c r="E659" s="29"/>
      <c r="F659" s="29"/>
      <c r="G659" s="29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</row>
    <row r="660" spans="1:40" x14ac:dyDescent="0.2">
      <c r="A660" s="29"/>
      <c r="B660" s="20"/>
      <c r="C660" s="29"/>
      <c r="D660" s="29"/>
      <c r="E660" s="29"/>
      <c r="F660" s="29"/>
      <c r="G660" s="29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</row>
    <row r="661" spans="1:40" x14ac:dyDescent="0.2">
      <c r="A661" s="29"/>
      <c r="B661" s="20"/>
      <c r="C661" s="29"/>
      <c r="D661" s="29"/>
      <c r="E661" s="29"/>
      <c r="F661" s="29"/>
      <c r="G661" s="29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</row>
    <row r="662" spans="1:40" x14ac:dyDescent="0.2">
      <c r="A662" s="29"/>
      <c r="B662" s="20"/>
      <c r="C662" s="29"/>
      <c r="D662" s="29"/>
      <c r="E662" s="29"/>
      <c r="F662" s="29"/>
      <c r="G662" s="29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</row>
    <row r="663" spans="1:40" x14ac:dyDescent="0.2">
      <c r="A663" s="29"/>
      <c r="B663" s="20"/>
      <c r="C663" s="29"/>
      <c r="D663" s="29"/>
      <c r="E663" s="29"/>
      <c r="F663" s="29"/>
      <c r="G663" s="29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</row>
    <row r="664" spans="1:40" x14ac:dyDescent="0.2">
      <c r="A664" s="29"/>
      <c r="B664" s="20"/>
      <c r="C664" s="29"/>
      <c r="D664" s="29"/>
      <c r="E664" s="29"/>
      <c r="F664" s="29"/>
      <c r="G664" s="29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</row>
    <row r="665" spans="1:40" x14ac:dyDescent="0.2">
      <c r="A665" s="29"/>
      <c r="B665" s="20"/>
      <c r="C665" s="29"/>
      <c r="D665" s="29"/>
      <c r="E665" s="29"/>
      <c r="F665" s="29"/>
      <c r="G665" s="29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</row>
    <row r="666" spans="1:40" x14ac:dyDescent="0.2">
      <c r="A666" s="29"/>
      <c r="B666" s="20"/>
      <c r="C666" s="29"/>
      <c r="D666" s="29"/>
      <c r="E666" s="29"/>
      <c r="F666" s="29"/>
      <c r="G666" s="29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</row>
    <row r="667" spans="1:40" x14ac:dyDescent="0.2">
      <c r="A667" s="29"/>
      <c r="B667" s="20"/>
      <c r="C667" s="29"/>
      <c r="D667" s="29"/>
      <c r="E667" s="29"/>
      <c r="F667" s="29"/>
      <c r="G667" s="29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</row>
    <row r="668" spans="1:40" x14ac:dyDescent="0.2">
      <c r="A668" s="29"/>
      <c r="B668" s="20"/>
      <c r="C668" s="29"/>
      <c r="D668" s="29"/>
      <c r="E668" s="29"/>
      <c r="F668" s="29"/>
      <c r="G668" s="29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</row>
    <row r="669" spans="1:40" x14ac:dyDescent="0.2">
      <c r="A669" s="29"/>
      <c r="B669" s="20"/>
      <c r="C669" s="29"/>
      <c r="D669" s="29"/>
      <c r="E669" s="29"/>
      <c r="F669" s="29"/>
      <c r="G669" s="29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</row>
    <row r="670" spans="1:40" x14ac:dyDescent="0.2">
      <c r="A670" s="29"/>
      <c r="B670" s="20"/>
      <c r="C670" s="29"/>
      <c r="D670" s="29"/>
      <c r="E670" s="29"/>
      <c r="F670" s="29"/>
      <c r="G670" s="29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</row>
    <row r="671" spans="1:40" x14ac:dyDescent="0.2">
      <c r="A671" s="29"/>
      <c r="B671" s="20"/>
      <c r="C671" s="29"/>
      <c r="D671" s="29"/>
      <c r="E671" s="29"/>
      <c r="F671" s="29"/>
      <c r="G671" s="29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</row>
    <row r="672" spans="1:40" x14ac:dyDescent="0.2">
      <c r="A672" s="29"/>
      <c r="B672" s="20"/>
      <c r="C672" s="29"/>
      <c r="D672" s="29"/>
      <c r="E672" s="29"/>
      <c r="F672" s="29"/>
      <c r="G672" s="29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</row>
    <row r="673" spans="1:40" x14ac:dyDescent="0.2">
      <c r="A673" s="29"/>
      <c r="B673" s="20"/>
      <c r="C673" s="29"/>
      <c r="D673" s="29"/>
      <c r="E673" s="29"/>
      <c r="F673" s="29"/>
      <c r="G673" s="29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</row>
    <row r="674" spans="1:40" x14ac:dyDescent="0.2">
      <c r="A674" s="29"/>
      <c r="B674" s="20"/>
      <c r="C674" s="29"/>
      <c r="D674" s="29"/>
      <c r="E674" s="29"/>
      <c r="F674" s="29"/>
      <c r="G674" s="29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</row>
    <row r="675" spans="1:40" x14ac:dyDescent="0.2">
      <c r="A675" s="29"/>
      <c r="B675" s="20"/>
      <c r="C675" s="29"/>
      <c r="D675" s="29"/>
      <c r="E675" s="29"/>
      <c r="F675" s="29"/>
      <c r="G675" s="29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</row>
    <row r="676" spans="1:40" x14ac:dyDescent="0.2">
      <c r="A676" s="29"/>
      <c r="B676" s="20"/>
      <c r="C676" s="29"/>
      <c r="D676" s="29"/>
      <c r="E676" s="29"/>
      <c r="F676" s="29"/>
      <c r="G676" s="29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</row>
    <row r="677" spans="1:40" x14ac:dyDescent="0.2">
      <c r="A677" s="29"/>
      <c r="B677" s="20"/>
      <c r="C677" s="29"/>
      <c r="D677" s="29"/>
      <c r="E677" s="29"/>
      <c r="F677" s="29"/>
      <c r="G677" s="29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</row>
    <row r="678" spans="1:40" x14ac:dyDescent="0.2">
      <c r="A678" s="29"/>
      <c r="B678" s="20"/>
      <c r="C678" s="29"/>
      <c r="D678" s="29"/>
      <c r="E678" s="29"/>
      <c r="F678" s="29"/>
      <c r="G678" s="29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</row>
    <row r="679" spans="1:40" x14ac:dyDescent="0.2">
      <c r="A679" s="29"/>
      <c r="B679" s="20"/>
      <c r="C679" s="29"/>
      <c r="D679" s="29"/>
      <c r="E679" s="29"/>
      <c r="F679" s="29"/>
      <c r="G679" s="29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</row>
    <row r="680" spans="1:40" x14ac:dyDescent="0.2">
      <c r="A680" s="29"/>
      <c r="B680" s="20"/>
      <c r="C680" s="29"/>
      <c r="D680" s="29"/>
      <c r="E680" s="29"/>
      <c r="F680" s="29"/>
      <c r="G680" s="29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</row>
    <row r="681" spans="1:40" x14ac:dyDescent="0.2">
      <c r="A681" s="29"/>
      <c r="B681" s="20"/>
      <c r="C681" s="29"/>
      <c r="D681" s="29"/>
      <c r="E681" s="29"/>
      <c r="F681" s="29"/>
      <c r="G681" s="29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</row>
    <row r="682" spans="1:40" x14ac:dyDescent="0.2">
      <c r="A682" s="29"/>
      <c r="B682" s="20"/>
      <c r="C682" s="29"/>
      <c r="D682" s="29"/>
      <c r="E682" s="29"/>
      <c r="F682" s="29"/>
      <c r="G682" s="29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</row>
    <row r="683" spans="1:40" x14ac:dyDescent="0.2">
      <c r="A683" s="29"/>
      <c r="B683" s="20"/>
      <c r="C683" s="29"/>
      <c r="D683" s="29"/>
      <c r="E683" s="29"/>
      <c r="F683" s="29"/>
      <c r="G683" s="29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</row>
    <row r="684" spans="1:40" x14ac:dyDescent="0.2">
      <c r="A684" s="29"/>
      <c r="B684" s="20"/>
      <c r="C684" s="29"/>
      <c r="D684" s="29"/>
      <c r="E684" s="29"/>
      <c r="F684" s="29"/>
      <c r="G684" s="29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</row>
    <row r="685" spans="1:40" x14ac:dyDescent="0.2">
      <c r="A685" s="29"/>
      <c r="B685" s="20"/>
      <c r="C685" s="29"/>
      <c r="D685" s="29"/>
      <c r="E685" s="29"/>
      <c r="F685" s="29"/>
      <c r="G685" s="29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</row>
    <row r="686" spans="1:40" x14ac:dyDescent="0.2">
      <c r="A686" s="29"/>
      <c r="B686" s="20"/>
      <c r="C686" s="29"/>
      <c r="D686" s="29"/>
      <c r="E686" s="29"/>
      <c r="F686" s="29"/>
      <c r="G686" s="29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</row>
    <row r="687" spans="1:40" x14ac:dyDescent="0.2">
      <c r="A687" s="29"/>
      <c r="B687" s="20"/>
      <c r="C687" s="29"/>
      <c r="D687" s="29"/>
      <c r="E687" s="29"/>
      <c r="F687" s="29"/>
      <c r="G687" s="29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</row>
    <row r="688" spans="1:40" x14ac:dyDescent="0.2">
      <c r="A688" s="29"/>
      <c r="B688" s="20"/>
      <c r="C688" s="29"/>
      <c r="D688" s="29"/>
      <c r="E688" s="29"/>
      <c r="F688" s="29"/>
      <c r="G688" s="29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</row>
    <row r="689" spans="1:40" x14ac:dyDescent="0.2">
      <c r="A689" s="29"/>
      <c r="B689" s="20"/>
      <c r="C689" s="29"/>
      <c r="D689" s="29"/>
      <c r="E689" s="29"/>
      <c r="F689" s="29"/>
      <c r="G689" s="29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</row>
    <row r="690" spans="1:40" x14ac:dyDescent="0.2">
      <c r="A690" s="29"/>
      <c r="B690" s="20"/>
      <c r="C690" s="29"/>
      <c r="D690" s="29"/>
      <c r="E690" s="29"/>
      <c r="F690" s="29"/>
      <c r="G690" s="29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</row>
    <row r="691" spans="1:40" x14ac:dyDescent="0.2">
      <c r="A691" s="29"/>
      <c r="B691" s="20"/>
      <c r="C691" s="29"/>
      <c r="D691" s="29"/>
      <c r="E691" s="29"/>
      <c r="F691" s="29"/>
      <c r="G691" s="29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</row>
    <row r="692" spans="1:40" x14ac:dyDescent="0.2">
      <c r="A692" s="29"/>
      <c r="B692" s="20"/>
      <c r="C692" s="29"/>
      <c r="D692" s="29"/>
      <c r="E692" s="29"/>
      <c r="F692" s="29"/>
      <c r="G692" s="29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</row>
    <row r="693" spans="1:40" x14ac:dyDescent="0.2">
      <c r="A693" s="29"/>
      <c r="B693" s="20"/>
      <c r="C693" s="29"/>
      <c r="D693" s="29"/>
      <c r="E693" s="29"/>
      <c r="F693" s="29"/>
      <c r="G693" s="29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</row>
    <row r="694" spans="1:40" x14ac:dyDescent="0.2">
      <c r="A694" s="29"/>
      <c r="B694" s="20"/>
      <c r="C694" s="29"/>
      <c r="D694" s="29"/>
      <c r="E694" s="29"/>
      <c r="F694" s="29"/>
      <c r="G694" s="29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</row>
    <row r="695" spans="1:40" x14ac:dyDescent="0.2">
      <c r="A695" s="29"/>
      <c r="B695" s="20"/>
      <c r="C695" s="29"/>
      <c r="D695" s="29"/>
      <c r="E695" s="29"/>
      <c r="F695" s="29"/>
      <c r="G695" s="29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</row>
    <row r="696" spans="1:40" x14ac:dyDescent="0.2">
      <c r="A696" s="29"/>
      <c r="B696" s="20"/>
      <c r="C696" s="29"/>
      <c r="D696" s="29"/>
      <c r="E696" s="29"/>
      <c r="F696" s="29"/>
      <c r="G696" s="29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</row>
    <row r="697" spans="1:40" x14ac:dyDescent="0.2">
      <c r="A697" s="29"/>
      <c r="B697" s="20"/>
      <c r="C697" s="29"/>
      <c r="D697" s="29"/>
      <c r="E697" s="29"/>
      <c r="F697" s="29"/>
      <c r="G697" s="29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</row>
    <row r="698" spans="1:40" x14ac:dyDescent="0.2">
      <c r="A698" s="29"/>
      <c r="B698" s="20"/>
      <c r="C698" s="29"/>
      <c r="D698" s="29"/>
      <c r="E698" s="29"/>
      <c r="F698" s="29"/>
      <c r="G698" s="29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</row>
    <row r="699" spans="1:40" x14ac:dyDescent="0.2">
      <c r="A699" s="29"/>
      <c r="B699" s="20"/>
      <c r="C699" s="29"/>
      <c r="D699" s="29"/>
      <c r="E699" s="29"/>
      <c r="F699" s="29"/>
      <c r="G699" s="29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</row>
    <row r="700" spans="1:40" x14ac:dyDescent="0.2">
      <c r="A700" s="29"/>
      <c r="B700" s="20"/>
      <c r="C700" s="29"/>
      <c r="D700" s="29"/>
      <c r="E700" s="29"/>
      <c r="F700" s="29"/>
      <c r="G700" s="29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</row>
    <row r="701" spans="1:40" x14ac:dyDescent="0.2">
      <c r="A701" s="29"/>
      <c r="B701" s="20"/>
      <c r="C701" s="29"/>
      <c r="D701" s="29"/>
      <c r="E701" s="29"/>
      <c r="F701" s="29"/>
      <c r="G701" s="29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</row>
    <row r="702" spans="1:40" x14ac:dyDescent="0.2">
      <c r="A702" s="29"/>
      <c r="B702" s="20"/>
      <c r="C702" s="29"/>
      <c r="D702" s="29"/>
      <c r="E702" s="29"/>
      <c r="F702" s="29"/>
      <c r="G702" s="29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</row>
    <row r="703" spans="1:40" x14ac:dyDescent="0.2">
      <c r="A703" s="29"/>
      <c r="B703" s="20"/>
      <c r="C703" s="29"/>
      <c r="D703" s="29"/>
      <c r="E703" s="29"/>
      <c r="F703" s="29"/>
      <c r="G703" s="29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</row>
    <row r="704" spans="1:40" x14ac:dyDescent="0.2">
      <c r="A704" s="29"/>
      <c r="B704" s="20"/>
      <c r="C704" s="29"/>
      <c r="D704" s="29"/>
      <c r="E704" s="29"/>
      <c r="F704" s="29"/>
      <c r="G704" s="29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</row>
    <row r="705" spans="1:40" x14ac:dyDescent="0.2">
      <c r="A705" s="29"/>
      <c r="B705" s="20"/>
      <c r="C705" s="29"/>
      <c r="D705" s="29"/>
      <c r="E705" s="29"/>
      <c r="F705" s="29"/>
      <c r="G705" s="29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</row>
    <row r="706" spans="1:40" x14ac:dyDescent="0.2">
      <c r="A706" s="29"/>
      <c r="B706" s="20"/>
      <c r="C706" s="29"/>
      <c r="D706" s="29"/>
      <c r="E706" s="29"/>
      <c r="F706" s="29"/>
      <c r="G706" s="29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</row>
    <row r="707" spans="1:40" x14ac:dyDescent="0.2">
      <c r="A707" s="29"/>
      <c r="B707" s="20"/>
      <c r="C707" s="29"/>
      <c r="D707" s="29"/>
      <c r="E707" s="29"/>
      <c r="F707" s="29"/>
      <c r="G707" s="29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</row>
    <row r="708" spans="1:40" x14ac:dyDescent="0.2">
      <c r="A708" s="29"/>
      <c r="B708" s="20"/>
      <c r="C708" s="29"/>
      <c r="D708" s="29"/>
      <c r="E708" s="29"/>
      <c r="F708" s="29"/>
      <c r="G708" s="29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</row>
    <row r="709" spans="1:40" x14ac:dyDescent="0.2">
      <c r="A709" s="29"/>
      <c r="B709" s="20"/>
      <c r="C709" s="29"/>
      <c r="D709" s="29"/>
      <c r="E709" s="29"/>
      <c r="F709" s="29"/>
      <c r="G709" s="29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</row>
    <row r="710" spans="1:40" x14ac:dyDescent="0.2">
      <c r="A710" s="29"/>
      <c r="B710" s="20"/>
      <c r="C710" s="29"/>
      <c r="D710" s="29"/>
      <c r="E710" s="29"/>
      <c r="F710" s="29"/>
      <c r="G710" s="29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</row>
    <row r="711" spans="1:40" x14ac:dyDescent="0.2">
      <c r="A711" s="29"/>
      <c r="B711" s="20"/>
      <c r="C711" s="29"/>
      <c r="D711" s="29"/>
      <c r="E711" s="29"/>
      <c r="F711" s="29"/>
      <c r="G711" s="29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</row>
    <row r="712" spans="1:40" x14ac:dyDescent="0.2">
      <c r="A712" s="29"/>
      <c r="B712" s="20"/>
      <c r="C712" s="29"/>
      <c r="D712" s="29"/>
      <c r="E712" s="29"/>
      <c r="F712" s="29"/>
      <c r="G712" s="29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</row>
    <row r="713" spans="1:40" x14ac:dyDescent="0.2">
      <c r="A713" s="29"/>
      <c r="B713" s="20"/>
      <c r="C713" s="29"/>
      <c r="D713" s="29"/>
      <c r="E713" s="29"/>
      <c r="F713" s="29"/>
      <c r="G713" s="29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</row>
    <row r="714" spans="1:40" x14ac:dyDescent="0.2">
      <c r="A714" s="29"/>
      <c r="B714" s="20"/>
      <c r="C714" s="29"/>
      <c r="D714" s="29"/>
      <c r="E714" s="29"/>
      <c r="F714" s="29"/>
      <c r="G714" s="29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</row>
    <row r="715" spans="1:40" x14ac:dyDescent="0.2">
      <c r="A715" s="29"/>
      <c r="B715" s="20"/>
      <c r="C715" s="29"/>
      <c r="D715" s="29"/>
      <c r="E715" s="29"/>
      <c r="F715" s="29"/>
      <c r="G715" s="29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</row>
    <row r="716" spans="1:40" x14ac:dyDescent="0.2">
      <c r="A716" s="29"/>
      <c r="B716" s="20"/>
      <c r="C716" s="29"/>
      <c r="D716" s="29"/>
      <c r="E716" s="29"/>
      <c r="F716" s="29"/>
      <c r="G716" s="29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</row>
    <row r="717" spans="1:40" x14ac:dyDescent="0.2">
      <c r="A717" s="29"/>
      <c r="B717" s="20"/>
      <c r="C717" s="29"/>
      <c r="D717" s="29"/>
      <c r="E717" s="29"/>
      <c r="F717" s="29"/>
      <c r="G717" s="29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</row>
    <row r="718" spans="1:40" x14ac:dyDescent="0.2">
      <c r="A718" s="29"/>
      <c r="B718" s="20"/>
      <c r="C718" s="29"/>
      <c r="D718" s="29"/>
      <c r="E718" s="29"/>
      <c r="F718" s="29"/>
      <c r="G718" s="29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</row>
    <row r="719" spans="1:40" x14ac:dyDescent="0.2">
      <c r="A719" s="29"/>
      <c r="B719" s="20"/>
      <c r="C719" s="29"/>
      <c r="D719" s="29"/>
      <c r="E719" s="29"/>
      <c r="F719" s="29"/>
      <c r="G719" s="29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</row>
    <row r="720" spans="1:40" x14ac:dyDescent="0.2">
      <c r="A720" s="29"/>
      <c r="B720" s="20"/>
      <c r="C720" s="29"/>
      <c r="D720" s="29"/>
      <c r="E720" s="29"/>
      <c r="F720" s="29"/>
      <c r="G720" s="29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</row>
    <row r="721" spans="1:40" x14ac:dyDescent="0.2">
      <c r="A721" s="29"/>
      <c r="B721" s="20"/>
      <c r="C721" s="29"/>
      <c r="D721" s="29"/>
      <c r="E721" s="29"/>
      <c r="F721" s="29"/>
      <c r="G721" s="29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</row>
    <row r="722" spans="1:40" x14ac:dyDescent="0.2">
      <c r="A722" s="29"/>
      <c r="B722" s="20"/>
      <c r="C722" s="29"/>
      <c r="D722" s="29"/>
      <c r="E722" s="29"/>
      <c r="F722" s="29"/>
      <c r="G722" s="29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</row>
    <row r="723" spans="1:40" x14ac:dyDescent="0.2">
      <c r="A723" s="29"/>
      <c r="B723" s="20"/>
      <c r="C723" s="29"/>
      <c r="D723" s="29"/>
      <c r="E723" s="29"/>
      <c r="F723" s="29"/>
      <c r="G723" s="29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</row>
    <row r="724" spans="1:40" x14ac:dyDescent="0.2">
      <c r="A724" s="29"/>
      <c r="B724" s="20"/>
      <c r="C724" s="29"/>
      <c r="D724" s="29"/>
      <c r="E724" s="29"/>
      <c r="F724" s="29"/>
      <c r="G724" s="29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</row>
    <row r="725" spans="1:40" x14ac:dyDescent="0.2">
      <c r="A725" s="29"/>
      <c r="B725" s="20"/>
      <c r="C725" s="29"/>
      <c r="D725" s="29"/>
      <c r="E725" s="29"/>
      <c r="F725" s="29"/>
      <c r="G725" s="29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</row>
    <row r="726" spans="1:40" x14ac:dyDescent="0.2">
      <c r="A726" s="29"/>
      <c r="B726" s="20"/>
      <c r="C726" s="29"/>
      <c r="D726" s="29"/>
      <c r="E726" s="29"/>
      <c r="F726" s="29"/>
      <c r="G726" s="29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</row>
    <row r="727" spans="1:40" x14ac:dyDescent="0.2">
      <c r="A727" s="29"/>
      <c r="B727" s="20"/>
      <c r="C727" s="29"/>
      <c r="D727" s="29"/>
      <c r="E727" s="29"/>
      <c r="F727" s="29"/>
      <c r="G727" s="29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</row>
    <row r="728" spans="1:40" x14ac:dyDescent="0.2">
      <c r="A728" s="29"/>
      <c r="B728" s="20"/>
      <c r="C728" s="29"/>
      <c r="D728" s="29"/>
      <c r="E728" s="29"/>
      <c r="F728" s="29"/>
      <c r="G728" s="29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</row>
    <row r="729" spans="1:40" x14ac:dyDescent="0.2">
      <c r="A729" s="29"/>
      <c r="B729" s="20"/>
      <c r="C729" s="29"/>
      <c r="D729" s="29"/>
      <c r="E729" s="29"/>
      <c r="F729" s="29"/>
      <c r="G729" s="29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</row>
    <row r="730" spans="1:40" x14ac:dyDescent="0.2">
      <c r="A730" s="29"/>
      <c r="B730" s="20"/>
      <c r="C730" s="29"/>
      <c r="D730" s="29"/>
      <c r="E730" s="29"/>
      <c r="F730" s="29"/>
      <c r="G730" s="29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</row>
    <row r="731" spans="1:40" x14ac:dyDescent="0.2">
      <c r="A731" s="29"/>
      <c r="B731" s="20"/>
      <c r="C731" s="29"/>
      <c r="D731" s="29"/>
      <c r="E731" s="29"/>
      <c r="F731" s="29"/>
      <c r="G731" s="29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</row>
    <row r="732" spans="1:40" x14ac:dyDescent="0.2">
      <c r="A732" s="29"/>
      <c r="B732" s="20"/>
      <c r="C732" s="29"/>
      <c r="D732" s="29"/>
      <c r="E732" s="29"/>
      <c r="F732" s="29"/>
      <c r="G732" s="29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</row>
    <row r="733" spans="1:40" x14ac:dyDescent="0.2">
      <c r="A733" s="29"/>
      <c r="B733" s="20"/>
      <c r="C733" s="29"/>
      <c r="D733" s="29"/>
      <c r="E733" s="29"/>
      <c r="F733" s="29"/>
      <c r="G733" s="29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</row>
    <row r="734" spans="1:40" x14ac:dyDescent="0.2">
      <c r="A734" s="29"/>
      <c r="B734" s="20"/>
      <c r="C734" s="29"/>
      <c r="D734" s="29"/>
      <c r="E734" s="29"/>
      <c r="F734" s="29"/>
      <c r="G734" s="29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</row>
    <row r="735" spans="1:40" x14ac:dyDescent="0.2">
      <c r="A735" s="29"/>
      <c r="B735" s="20"/>
      <c r="C735" s="29"/>
      <c r="D735" s="29"/>
      <c r="E735" s="29"/>
      <c r="F735" s="29"/>
      <c r="G735" s="29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</row>
    <row r="736" spans="1:40" x14ac:dyDescent="0.2">
      <c r="A736" s="29"/>
      <c r="B736" s="20"/>
      <c r="C736" s="29"/>
      <c r="D736" s="29"/>
      <c r="E736" s="29"/>
      <c r="F736" s="29"/>
      <c r="G736" s="29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</row>
    <row r="737" spans="1:40" x14ac:dyDescent="0.2">
      <c r="A737" s="29"/>
      <c r="B737" s="20"/>
      <c r="C737" s="29"/>
      <c r="D737" s="29"/>
      <c r="E737" s="29"/>
      <c r="F737" s="29"/>
      <c r="G737" s="29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</row>
    <row r="738" spans="1:40" x14ac:dyDescent="0.2">
      <c r="A738" s="29"/>
      <c r="B738" s="20"/>
      <c r="C738" s="29"/>
      <c r="D738" s="29"/>
      <c r="E738" s="29"/>
      <c r="F738" s="29"/>
      <c r="G738" s="29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</row>
    <row r="739" spans="1:40" x14ac:dyDescent="0.2">
      <c r="A739" s="29"/>
      <c r="B739" s="20"/>
      <c r="C739" s="29"/>
      <c r="D739" s="29"/>
      <c r="E739" s="29"/>
      <c r="F739" s="29"/>
      <c r="G739" s="29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</row>
    <row r="740" spans="1:40" x14ac:dyDescent="0.2">
      <c r="A740" s="29"/>
      <c r="B740" s="20"/>
      <c r="C740" s="29"/>
      <c r="D740" s="29"/>
      <c r="E740" s="29"/>
      <c r="F740" s="29"/>
      <c r="G740" s="29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</row>
    <row r="741" spans="1:40" x14ac:dyDescent="0.2">
      <c r="A741" s="29"/>
      <c r="B741" s="20"/>
      <c r="C741" s="29"/>
      <c r="D741" s="29"/>
      <c r="E741" s="29"/>
      <c r="F741" s="29"/>
      <c r="G741" s="29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</row>
    <row r="742" spans="1:40" x14ac:dyDescent="0.2">
      <c r="A742" s="29"/>
      <c r="B742" s="20"/>
      <c r="C742" s="29"/>
      <c r="D742" s="29"/>
      <c r="E742" s="29"/>
      <c r="F742" s="29"/>
      <c r="G742" s="29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</row>
    <row r="743" spans="1:40" x14ac:dyDescent="0.2">
      <c r="A743" s="29"/>
      <c r="B743" s="20"/>
      <c r="C743" s="29"/>
      <c r="D743" s="29"/>
      <c r="E743" s="29"/>
      <c r="F743" s="29"/>
      <c r="G743" s="29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</row>
    <row r="744" spans="1:40" x14ac:dyDescent="0.2">
      <c r="A744" s="29"/>
      <c r="B744" s="20"/>
      <c r="C744" s="29"/>
      <c r="D744" s="29"/>
      <c r="E744" s="29"/>
      <c r="F744" s="29"/>
      <c r="G744" s="29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</row>
    <row r="745" spans="1:40" x14ac:dyDescent="0.2">
      <c r="A745" s="29"/>
      <c r="B745" s="20"/>
      <c r="C745" s="29"/>
      <c r="D745" s="29"/>
      <c r="E745" s="29"/>
      <c r="F745" s="29"/>
      <c r="G745" s="29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</row>
    <row r="746" spans="1:40" x14ac:dyDescent="0.2">
      <c r="A746" s="29"/>
      <c r="B746" s="20"/>
      <c r="C746" s="29"/>
      <c r="D746" s="29"/>
      <c r="E746" s="29"/>
      <c r="F746" s="29"/>
      <c r="G746" s="29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</row>
    <row r="747" spans="1:40" x14ac:dyDescent="0.2">
      <c r="A747" s="29"/>
      <c r="B747" s="20"/>
      <c r="C747" s="29"/>
      <c r="D747" s="29"/>
      <c r="E747" s="29"/>
      <c r="F747" s="29"/>
      <c r="G747" s="29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</row>
    <row r="748" spans="1:40" x14ac:dyDescent="0.2">
      <c r="A748" s="29"/>
      <c r="B748" s="20"/>
      <c r="C748" s="29"/>
      <c r="D748" s="29"/>
      <c r="E748" s="29"/>
      <c r="F748" s="29"/>
      <c r="G748" s="29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</row>
    <row r="749" spans="1:40" x14ac:dyDescent="0.2">
      <c r="A749" s="29"/>
      <c r="B749" s="20"/>
      <c r="C749" s="29"/>
      <c r="D749" s="29"/>
      <c r="E749" s="29"/>
      <c r="F749" s="29"/>
      <c r="G749" s="29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</row>
    <row r="750" spans="1:40" x14ac:dyDescent="0.2">
      <c r="A750" s="29"/>
      <c r="B750" s="20"/>
      <c r="C750" s="29"/>
      <c r="D750" s="29"/>
      <c r="E750" s="29"/>
      <c r="F750" s="29"/>
      <c r="G750" s="29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</row>
    <row r="751" spans="1:40" x14ac:dyDescent="0.2">
      <c r="A751" s="29"/>
      <c r="B751" s="20"/>
      <c r="C751" s="29"/>
      <c r="D751" s="29"/>
      <c r="E751" s="29"/>
      <c r="F751" s="29"/>
      <c r="G751" s="29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</row>
    <row r="752" spans="1:40" x14ac:dyDescent="0.2">
      <c r="A752" s="29"/>
      <c r="B752" s="20"/>
      <c r="C752" s="29"/>
      <c r="D752" s="29"/>
      <c r="E752" s="29"/>
      <c r="F752" s="29"/>
      <c r="G752" s="29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</row>
    <row r="753" spans="1:40" x14ac:dyDescent="0.2">
      <c r="A753" s="29"/>
      <c r="B753" s="20"/>
      <c r="C753" s="29"/>
      <c r="D753" s="29"/>
      <c r="E753" s="29"/>
      <c r="F753" s="29"/>
      <c r="G753" s="29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</row>
    <row r="754" spans="1:40" x14ac:dyDescent="0.2">
      <c r="A754" s="29"/>
      <c r="B754" s="20"/>
      <c r="C754" s="29"/>
      <c r="D754" s="29"/>
      <c r="E754" s="29"/>
      <c r="F754" s="29"/>
      <c r="G754" s="29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</row>
    <row r="755" spans="1:40" x14ac:dyDescent="0.2">
      <c r="A755" s="29"/>
      <c r="B755" s="20"/>
      <c r="C755" s="29"/>
      <c r="D755" s="29"/>
      <c r="E755" s="29"/>
      <c r="F755" s="29"/>
      <c r="G755" s="29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</row>
    <row r="756" spans="1:40" x14ac:dyDescent="0.2">
      <c r="A756" s="29"/>
      <c r="B756" s="20"/>
      <c r="C756" s="29"/>
      <c r="D756" s="29"/>
      <c r="E756" s="29"/>
      <c r="F756" s="29"/>
      <c r="G756" s="29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</row>
    <row r="757" spans="1:40" x14ac:dyDescent="0.2">
      <c r="A757" s="29"/>
      <c r="B757" s="20"/>
      <c r="C757" s="29"/>
      <c r="D757" s="29"/>
      <c r="E757" s="29"/>
      <c r="F757" s="29"/>
      <c r="G757" s="29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</row>
    <row r="758" spans="1:40" x14ac:dyDescent="0.2">
      <c r="A758" s="29"/>
      <c r="B758" s="20"/>
      <c r="C758" s="29"/>
      <c r="D758" s="29"/>
      <c r="E758" s="29"/>
      <c r="F758" s="29"/>
      <c r="G758" s="29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</row>
    <row r="759" spans="1:40" x14ac:dyDescent="0.2">
      <c r="A759" s="29"/>
      <c r="B759" s="20"/>
      <c r="C759" s="29"/>
      <c r="D759" s="29"/>
      <c r="E759" s="29"/>
      <c r="F759" s="29"/>
      <c r="G759" s="29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</row>
    <row r="760" spans="1:40" x14ac:dyDescent="0.2">
      <c r="A760" s="29"/>
      <c r="B760" s="20"/>
      <c r="C760" s="29"/>
      <c r="D760" s="29"/>
      <c r="E760" s="29"/>
      <c r="F760" s="29"/>
      <c r="G760" s="29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</row>
    <row r="761" spans="1:40" x14ac:dyDescent="0.2">
      <c r="A761" s="29"/>
      <c r="B761" s="20"/>
      <c r="C761" s="29"/>
      <c r="D761" s="29"/>
      <c r="E761" s="29"/>
      <c r="F761" s="29"/>
      <c r="G761" s="29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</row>
    <row r="762" spans="1:40" x14ac:dyDescent="0.2">
      <c r="A762" s="29"/>
      <c r="B762" s="20"/>
      <c r="C762" s="29"/>
      <c r="D762" s="29"/>
      <c r="E762" s="29"/>
      <c r="F762" s="29"/>
      <c r="G762" s="29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</row>
    <row r="763" spans="1:40" x14ac:dyDescent="0.2">
      <c r="A763" s="29"/>
      <c r="B763" s="20"/>
      <c r="C763" s="29"/>
      <c r="D763" s="29"/>
      <c r="E763" s="29"/>
      <c r="F763" s="29"/>
      <c r="G763" s="29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</row>
    <row r="764" spans="1:40" x14ac:dyDescent="0.2">
      <c r="A764" s="29"/>
      <c r="B764" s="20"/>
      <c r="C764" s="29"/>
      <c r="D764" s="29"/>
      <c r="E764" s="29"/>
      <c r="F764" s="29"/>
      <c r="G764" s="29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</row>
    <row r="765" spans="1:40" x14ac:dyDescent="0.2">
      <c r="A765" s="29"/>
      <c r="B765" s="20"/>
      <c r="C765" s="29"/>
      <c r="D765" s="29"/>
      <c r="E765" s="29"/>
      <c r="F765" s="29"/>
      <c r="G765" s="29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</row>
    <row r="766" spans="1:40" x14ac:dyDescent="0.2">
      <c r="A766" s="29"/>
      <c r="B766" s="20"/>
      <c r="C766" s="29"/>
      <c r="D766" s="29"/>
      <c r="E766" s="29"/>
      <c r="F766" s="29"/>
      <c r="G766" s="29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</row>
    <row r="767" spans="1:40" x14ac:dyDescent="0.2">
      <c r="A767" s="29"/>
      <c r="B767" s="20"/>
      <c r="C767" s="29"/>
      <c r="D767" s="29"/>
      <c r="E767" s="29"/>
      <c r="F767" s="29"/>
      <c r="G767" s="29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</row>
    <row r="768" spans="1:40" x14ac:dyDescent="0.2">
      <c r="A768" s="29"/>
      <c r="B768" s="20"/>
      <c r="C768" s="29"/>
      <c r="D768" s="29"/>
      <c r="E768" s="29"/>
      <c r="F768" s="29"/>
      <c r="G768" s="29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</row>
    <row r="769" spans="1:40" x14ac:dyDescent="0.2">
      <c r="A769" s="29"/>
      <c r="B769" s="20"/>
      <c r="C769" s="29"/>
      <c r="D769" s="29"/>
      <c r="E769" s="29"/>
      <c r="F769" s="29"/>
      <c r="G769" s="29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</row>
    <row r="770" spans="1:40" x14ac:dyDescent="0.2">
      <c r="A770" s="29"/>
      <c r="B770" s="20"/>
      <c r="C770" s="29"/>
      <c r="D770" s="29"/>
      <c r="E770" s="29"/>
      <c r="F770" s="29"/>
      <c r="G770" s="29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</row>
    <row r="771" spans="1:40" x14ac:dyDescent="0.2">
      <c r="A771" s="29"/>
      <c r="B771" s="20"/>
      <c r="C771" s="29"/>
      <c r="D771" s="29"/>
      <c r="E771" s="29"/>
      <c r="F771" s="29"/>
      <c r="G771" s="29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</row>
    <row r="772" spans="1:40" x14ac:dyDescent="0.2">
      <c r="A772" s="29"/>
      <c r="B772" s="20"/>
      <c r="C772" s="29"/>
      <c r="D772" s="29"/>
      <c r="E772" s="29"/>
      <c r="F772" s="29"/>
      <c r="G772" s="29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</row>
    <row r="773" spans="1:40" x14ac:dyDescent="0.2">
      <c r="A773" s="29"/>
      <c r="B773" s="20"/>
      <c r="C773" s="29"/>
      <c r="D773" s="29"/>
      <c r="E773" s="29"/>
      <c r="F773" s="29"/>
      <c r="G773" s="29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</row>
    <row r="774" spans="1:40" x14ac:dyDescent="0.2">
      <c r="A774" s="29"/>
      <c r="B774" s="20"/>
      <c r="C774" s="29"/>
      <c r="D774" s="29"/>
      <c r="E774" s="29"/>
      <c r="F774" s="29"/>
      <c r="G774" s="29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</row>
    <row r="775" spans="1:40" x14ac:dyDescent="0.2">
      <c r="A775" s="29"/>
      <c r="B775" s="20"/>
      <c r="C775" s="29"/>
      <c r="D775" s="29"/>
      <c r="E775" s="29"/>
      <c r="F775" s="29"/>
      <c r="G775" s="29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</row>
    <row r="776" spans="1:40" x14ac:dyDescent="0.2">
      <c r="A776" s="29"/>
      <c r="B776" s="20"/>
      <c r="C776" s="29"/>
      <c r="D776" s="29"/>
      <c r="E776" s="29"/>
      <c r="F776" s="29"/>
      <c r="G776" s="29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</row>
    <row r="777" spans="1:40" x14ac:dyDescent="0.2">
      <c r="A777" s="29"/>
      <c r="B777" s="20"/>
      <c r="C777" s="29"/>
      <c r="D777" s="29"/>
      <c r="E777" s="29"/>
      <c r="F777" s="29"/>
      <c r="G777" s="29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</row>
    <row r="778" spans="1:40" x14ac:dyDescent="0.2">
      <c r="A778" s="29"/>
      <c r="B778" s="20"/>
      <c r="C778" s="29"/>
      <c r="D778" s="29"/>
      <c r="E778" s="29"/>
      <c r="F778" s="29"/>
      <c r="G778" s="29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</row>
    <row r="779" spans="1:40" x14ac:dyDescent="0.2">
      <c r="A779" s="29"/>
      <c r="B779" s="20"/>
      <c r="C779" s="29"/>
      <c r="D779" s="29"/>
      <c r="E779" s="29"/>
      <c r="F779" s="29"/>
      <c r="G779" s="29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</row>
    <row r="780" spans="1:40" x14ac:dyDescent="0.2">
      <c r="A780" s="29"/>
      <c r="B780" s="20"/>
      <c r="C780" s="29"/>
      <c r="D780" s="29"/>
      <c r="E780" s="29"/>
      <c r="F780" s="29"/>
      <c r="G780" s="29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</row>
    <row r="781" spans="1:40" x14ac:dyDescent="0.2">
      <c r="A781" s="29"/>
      <c r="B781" s="20"/>
      <c r="C781" s="29"/>
      <c r="D781" s="29"/>
      <c r="E781" s="29"/>
      <c r="F781" s="29"/>
      <c r="G781" s="29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</row>
    <row r="782" spans="1:40" x14ac:dyDescent="0.2">
      <c r="A782" s="29"/>
      <c r="B782" s="20"/>
      <c r="C782" s="29"/>
      <c r="D782" s="29"/>
      <c r="E782" s="29"/>
      <c r="F782" s="29"/>
      <c r="G782" s="29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</row>
    <row r="783" spans="1:40" x14ac:dyDescent="0.2">
      <c r="A783" s="29"/>
      <c r="B783" s="20"/>
      <c r="C783" s="29"/>
      <c r="D783" s="29"/>
      <c r="E783" s="29"/>
      <c r="F783" s="29"/>
      <c r="G783" s="29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</row>
    <row r="784" spans="1:40" x14ac:dyDescent="0.2">
      <c r="A784" s="29"/>
      <c r="B784" s="20"/>
      <c r="C784" s="29"/>
      <c r="D784" s="29"/>
      <c r="E784" s="29"/>
      <c r="F784" s="29"/>
      <c r="G784" s="29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</row>
    <row r="785" spans="1:40" x14ac:dyDescent="0.2">
      <c r="A785" s="29"/>
      <c r="B785" s="20"/>
      <c r="C785" s="29"/>
      <c r="D785" s="29"/>
      <c r="E785" s="29"/>
      <c r="F785" s="29"/>
      <c r="G785" s="29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</row>
    <row r="786" spans="1:40" x14ac:dyDescent="0.2">
      <c r="A786" s="29"/>
      <c r="B786" s="20"/>
      <c r="C786" s="29"/>
      <c r="D786" s="29"/>
      <c r="E786" s="29"/>
      <c r="F786" s="29"/>
      <c r="G786" s="29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</row>
    <row r="787" spans="1:40" x14ac:dyDescent="0.2">
      <c r="A787" s="29"/>
      <c r="B787" s="20"/>
      <c r="C787" s="29"/>
      <c r="D787" s="29"/>
      <c r="E787" s="29"/>
      <c r="F787" s="29"/>
      <c r="G787" s="29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</row>
    <row r="788" spans="1:40" x14ac:dyDescent="0.2">
      <c r="A788" s="29"/>
      <c r="B788" s="20"/>
      <c r="C788" s="29"/>
      <c r="D788" s="29"/>
      <c r="E788" s="29"/>
      <c r="F788" s="29"/>
      <c r="G788" s="29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</row>
    <row r="789" spans="1:40" x14ac:dyDescent="0.2">
      <c r="A789" s="29"/>
      <c r="B789" s="20"/>
      <c r="C789" s="29"/>
      <c r="D789" s="29"/>
      <c r="E789" s="29"/>
      <c r="F789" s="29"/>
      <c r="G789" s="29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</row>
    <row r="790" spans="1:40" x14ac:dyDescent="0.2">
      <c r="A790" s="29"/>
      <c r="B790" s="20"/>
      <c r="C790" s="29"/>
      <c r="D790" s="29"/>
      <c r="E790" s="29"/>
      <c r="F790" s="29"/>
      <c r="G790" s="29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</row>
    <row r="791" spans="1:40" x14ac:dyDescent="0.2">
      <c r="A791" s="29"/>
      <c r="B791" s="20"/>
      <c r="C791" s="29"/>
      <c r="D791" s="29"/>
      <c r="E791" s="29"/>
      <c r="F791" s="29"/>
      <c r="G791" s="29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</row>
    <row r="792" spans="1:40" x14ac:dyDescent="0.2">
      <c r="A792" s="29"/>
      <c r="B792" s="20"/>
      <c r="C792" s="29"/>
      <c r="D792" s="29"/>
      <c r="E792" s="29"/>
      <c r="F792" s="29"/>
      <c r="G792" s="29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</row>
    <row r="793" spans="1:40" x14ac:dyDescent="0.2">
      <c r="A793" s="29"/>
      <c r="B793" s="20"/>
      <c r="C793" s="29"/>
      <c r="D793" s="29"/>
      <c r="E793" s="29"/>
      <c r="F793" s="29"/>
      <c r="G793" s="29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</row>
    <row r="794" spans="1:40" x14ac:dyDescent="0.2">
      <c r="A794" s="29"/>
      <c r="B794" s="20"/>
      <c r="C794" s="29"/>
      <c r="D794" s="29"/>
      <c r="E794" s="29"/>
      <c r="F794" s="29"/>
      <c r="G794" s="29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</row>
    <row r="795" spans="1:40" x14ac:dyDescent="0.2">
      <c r="A795" s="29"/>
      <c r="B795" s="20"/>
      <c r="C795" s="29"/>
      <c r="D795" s="29"/>
      <c r="E795" s="29"/>
      <c r="F795" s="29"/>
      <c r="G795" s="29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</row>
    <row r="796" spans="1:40" x14ac:dyDescent="0.2">
      <c r="A796" s="29"/>
      <c r="B796" s="20"/>
      <c r="C796" s="29"/>
      <c r="D796" s="29"/>
      <c r="E796" s="29"/>
      <c r="F796" s="29"/>
      <c r="G796" s="29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</row>
    <row r="797" spans="1:40" x14ac:dyDescent="0.2">
      <c r="A797" s="29"/>
      <c r="B797" s="20"/>
      <c r="C797" s="29"/>
      <c r="D797" s="29"/>
      <c r="E797" s="29"/>
      <c r="F797" s="29"/>
      <c r="G797" s="29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</row>
    <row r="798" spans="1:40" x14ac:dyDescent="0.2">
      <c r="A798" s="29"/>
      <c r="B798" s="20"/>
      <c r="C798" s="29"/>
      <c r="D798" s="29"/>
      <c r="E798" s="29"/>
      <c r="F798" s="29"/>
      <c r="G798" s="29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</row>
    <row r="799" spans="1:40" x14ac:dyDescent="0.2">
      <c r="A799" s="29"/>
      <c r="B799" s="20"/>
      <c r="C799" s="29"/>
      <c r="D799" s="29"/>
      <c r="E799" s="29"/>
      <c r="F799" s="29"/>
      <c r="G799" s="29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</row>
    <row r="800" spans="1:40" x14ac:dyDescent="0.2">
      <c r="A800" s="29"/>
      <c r="B800" s="20"/>
      <c r="C800" s="29"/>
      <c r="D800" s="29"/>
      <c r="E800" s="29"/>
      <c r="F800" s="29"/>
      <c r="G800" s="29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</row>
    <row r="801" spans="1:40" x14ac:dyDescent="0.2">
      <c r="A801" s="29"/>
      <c r="B801" s="20"/>
      <c r="C801" s="29"/>
      <c r="D801" s="29"/>
      <c r="E801" s="29"/>
      <c r="F801" s="29"/>
      <c r="G801" s="29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</row>
    <row r="802" spans="1:40" x14ac:dyDescent="0.2">
      <c r="A802" s="29"/>
      <c r="B802" s="20"/>
      <c r="C802" s="29"/>
      <c r="D802" s="29"/>
      <c r="E802" s="29"/>
      <c r="F802" s="29"/>
      <c r="G802" s="29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</row>
    <row r="803" spans="1:40" x14ac:dyDescent="0.2">
      <c r="A803" s="29"/>
      <c r="B803" s="20"/>
      <c r="C803" s="29"/>
      <c r="D803" s="29"/>
      <c r="E803" s="29"/>
      <c r="F803" s="29"/>
      <c r="G803" s="29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</row>
    <row r="804" spans="1:40" x14ac:dyDescent="0.2">
      <c r="A804" s="29"/>
      <c r="B804" s="20"/>
      <c r="C804" s="29"/>
      <c r="D804" s="29"/>
      <c r="E804" s="29"/>
      <c r="F804" s="29"/>
      <c r="G804" s="29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</row>
    <row r="805" spans="1:40" x14ac:dyDescent="0.2">
      <c r="A805" s="29"/>
      <c r="B805" s="20"/>
      <c r="C805" s="29"/>
      <c r="D805" s="29"/>
      <c r="E805" s="29"/>
      <c r="F805" s="29"/>
      <c r="G805" s="29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</row>
    <row r="806" spans="1:40" x14ac:dyDescent="0.2">
      <c r="A806" s="29"/>
      <c r="B806" s="20"/>
      <c r="C806" s="29"/>
      <c r="D806" s="29"/>
      <c r="E806" s="29"/>
      <c r="F806" s="29"/>
      <c r="G806" s="29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</row>
    <row r="807" spans="1:40" x14ac:dyDescent="0.2">
      <c r="A807" s="29"/>
      <c r="B807" s="20"/>
      <c r="C807" s="29"/>
      <c r="D807" s="29"/>
      <c r="E807" s="29"/>
      <c r="F807" s="29"/>
      <c r="G807" s="29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</row>
    <row r="808" spans="1:40" x14ac:dyDescent="0.2">
      <c r="A808" s="29"/>
      <c r="B808" s="20"/>
      <c r="C808" s="29"/>
      <c r="D808" s="29"/>
      <c r="E808" s="29"/>
      <c r="F808" s="29"/>
      <c r="G808" s="29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</row>
    <row r="809" spans="1:40" x14ac:dyDescent="0.2">
      <c r="A809" s="29"/>
      <c r="B809" s="20"/>
      <c r="C809" s="29"/>
      <c r="D809" s="29"/>
      <c r="E809" s="29"/>
      <c r="F809" s="29"/>
      <c r="G809" s="29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</row>
    <row r="810" spans="1:40" x14ac:dyDescent="0.2">
      <c r="A810" s="29"/>
      <c r="B810" s="20"/>
      <c r="C810" s="29"/>
      <c r="D810" s="29"/>
      <c r="E810" s="29"/>
      <c r="F810" s="29"/>
      <c r="G810" s="29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</row>
    <row r="811" spans="1:40" x14ac:dyDescent="0.2">
      <c r="A811" s="29"/>
      <c r="B811" s="20"/>
      <c r="C811" s="29"/>
      <c r="D811" s="29"/>
      <c r="E811" s="29"/>
      <c r="F811" s="29"/>
      <c r="G811" s="29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</row>
    <row r="812" spans="1:40" x14ac:dyDescent="0.2">
      <c r="A812" s="29"/>
      <c r="B812" s="20"/>
      <c r="C812" s="29"/>
      <c r="D812" s="29"/>
      <c r="E812" s="29"/>
      <c r="F812" s="29"/>
      <c r="G812" s="29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</row>
    <row r="813" spans="1:40" x14ac:dyDescent="0.2">
      <c r="A813" s="29"/>
      <c r="B813" s="20"/>
      <c r="C813" s="29"/>
      <c r="D813" s="29"/>
      <c r="E813" s="29"/>
      <c r="F813" s="29"/>
      <c r="G813" s="29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</row>
    <row r="814" spans="1:40" x14ac:dyDescent="0.2">
      <c r="A814" s="29"/>
      <c r="B814" s="20"/>
      <c r="C814" s="29"/>
      <c r="D814" s="29"/>
      <c r="E814" s="29"/>
      <c r="F814" s="29"/>
      <c r="G814" s="29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</row>
    <row r="815" spans="1:40" x14ac:dyDescent="0.2">
      <c r="A815" s="29"/>
      <c r="B815" s="20"/>
      <c r="C815" s="29"/>
      <c r="D815" s="29"/>
      <c r="E815" s="29"/>
      <c r="F815" s="29"/>
      <c r="G815" s="29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</row>
    <row r="816" spans="1:40" x14ac:dyDescent="0.2">
      <c r="A816" s="29"/>
      <c r="B816" s="20"/>
      <c r="C816" s="29"/>
      <c r="D816" s="29"/>
      <c r="E816" s="29"/>
      <c r="F816" s="29"/>
      <c r="G816" s="29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</row>
    <row r="817" spans="1:40" x14ac:dyDescent="0.2">
      <c r="A817" s="29"/>
      <c r="B817" s="20"/>
      <c r="C817" s="29"/>
      <c r="D817" s="29"/>
      <c r="E817" s="29"/>
      <c r="F817" s="29"/>
      <c r="G817" s="29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</row>
    <row r="818" spans="1:40" x14ac:dyDescent="0.2">
      <c r="A818" s="29"/>
      <c r="B818" s="20"/>
      <c r="C818" s="29"/>
      <c r="D818" s="29"/>
      <c r="E818" s="29"/>
      <c r="F818" s="29"/>
      <c r="G818" s="29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</row>
    <row r="819" spans="1:40" x14ac:dyDescent="0.2">
      <c r="A819" s="29"/>
      <c r="B819" s="20"/>
      <c r="C819" s="29"/>
      <c r="D819" s="29"/>
      <c r="E819" s="29"/>
      <c r="F819" s="29"/>
      <c r="G819" s="29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</row>
    <row r="820" spans="1:40" x14ac:dyDescent="0.2">
      <c r="A820" s="29"/>
      <c r="B820" s="20"/>
      <c r="C820" s="29"/>
      <c r="D820" s="29"/>
      <c r="E820" s="29"/>
      <c r="F820" s="29"/>
      <c r="G820" s="29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</row>
    <row r="821" spans="1:40" x14ac:dyDescent="0.2">
      <c r="A821" s="29"/>
      <c r="B821" s="20"/>
      <c r="C821" s="29"/>
      <c r="D821" s="29"/>
      <c r="E821" s="29"/>
      <c r="F821" s="29"/>
      <c r="G821" s="29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</row>
    <row r="822" spans="1:40" x14ac:dyDescent="0.2">
      <c r="A822" s="29"/>
      <c r="B822" s="20"/>
      <c r="C822" s="29"/>
      <c r="D822" s="29"/>
      <c r="E822" s="29"/>
      <c r="F822" s="29"/>
      <c r="G822" s="29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</row>
    <row r="823" spans="1:40" x14ac:dyDescent="0.2">
      <c r="A823" s="29"/>
      <c r="B823" s="20"/>
      <c r="C823" s="29"/>
      <c r="D823" s="29"/>
      <c r="E823" s="29"/>
      <c r="F823" s="29"/>
      <c r="G823" s="29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</row>
    <row r="824" spans="1:40" x14ac:dyDescent="0.2">
      <c r="A824" s="29"/>
      <c r="B824" s="20"/>
      <c r="C824" s="29"/>
      <c r="D824" s="29"/>
      <c r="E824" s="29"/>
      <c r="F824" s="29"/>
      <c r="G824" s="29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</row>
    <row r="825" spans="1:40" x14ac:dyDescent="0.2">
      <c r="A825" s="29"/>
      <c r="B825" s="20"/>
      <c r="C825" s="29"/>
      <c r="D825" s="29"/>
      <c r="E825" s="29"/>
      <c r="F825" s="29"/>
      <c r="G825" s="29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</row>
    <row r="826" spans="1:40" x14ac:dyDescent="0.2">
      <c r="A826" s="29"/>
      <c r="B826" s="20"/>
      <c r="C826" s="29"/>
      <c r="D826" s="29"/>
      <c r="E826" s="29"/>
      <c r="F826" s="29"/>
      <c r="G826" s="29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</row>
    <row r="827" spans="1:40" x14ac:dyDescent="0.2">
      <c r="A827" s="29"/>
      <c r="B827" s="20"/>
      <c r="C827" s="29"/>
      <c r="D827" s="29"/>
      <c r="E827" s="29"/>
      <c r="F827" s="29"/>
      <c r="G827" s="29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</row>
    <row r="828" spans="1:40" x14ac:dyDescent="0.2">
      <c r="A828" s="29"/>
      <c r="B828" s="20"/>
      <c r="C828" s="29"/>
      <c r="D828" s="29"/>
      <c r="E828" s="29"/>
      <c r="F828" s="29"/>
      <c r="G828" s="29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</row>
    <row r="829" spans="1:40" x14ac:dyDescent="0.2">
      <c r="A829" s="29"/>
      <c r="B829" s="20"/>
      <c r="C829" s="29"/>
      <c r="D829" s="29"/>
      <c r="E829" s="29"/>
      <c r="F829" s="29"/>
      <c r="G829" s="29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</row>
    <row r="830" spans="1:40" x14ac:dyDescent="0.2">
      <c r="A830" s="29"/>
      <c r="B830" s="20"/>
      <c r="C830" s="29"/>
      <c r="D830" s="29"/>
      <c r="E830" s="29"/>
      <c r="F830" s="29"/>
      <c r="G830" s="29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</row>
    <row r="831" spans="1:40" x14ac:dyDescent="0.2">
      <c r="A831" s="29"/>
      <c r="B831" s="20"/>
      <c r="C831" s="29"/>
      <c r="D831" s="29"/>
      <c r="E831" s="29"/>
      <c r="F831" s="29"/>
      <c r="G831" s="29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</row>
    <row r="832" spans="1:40" x14ac:dyDescent="0.2">
      <c r="A832" s="29"/>
      <c r="B832" s="20"/>
      <c r="C832" s="29"/>
      <c r="D832" s="29"/>
      <c r="E832" s="29"/>
      <c r="F832" s="29"/>
      <c r="G832" s="29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</row>
    <row r="833" spans="1:40" x14ac:dyDescent="0.2">
      <c r="A833" s="29"/>
      <c r="B833" s="20"/>
      <c r="C833" s="29"/>
      <c r="D833" s="29"/>
      <c r="E833" s="29"/>
      <c r="F833" s="29"/>
      <c r="G833" s="29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</row>
    <row r="834" spans="1:40" x14ac:dyDescent="0.2">
      <c r="A834" s="29"/>
      <c r="B834" s="20"/>
      <c r="C834" s="29"/>
      <c r="D834" s="29"/>
      <c r="E834" s="29"/>
      <c r="F834" s="29"/>
      <c r="G834" s="29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</row>
    <row r="835" spans="1:40" x14ac:dyDescent="0.2">
      <c r="A835" s="29"/>
      <c r="B835" s="20"/>
      <c r="C835" s="29"/>
      <c r="D835" s="29"/>
      <c r="E835" s="29"/>
      <c r="F835" s="29"/>
      <c r="G835" s="29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</row>
    <row r="836" spans="1:40" x14ac:dyDescent="0.2">
      <c r="A836" s="29"/>
      <c r="B836" s="20"/>
      <c r="C836" s="29"/>
      <c r="D836" s="29"/>
      <c r="E836" s="29"/>
      <c r="F836" s="29"/>
      <c r="G836" s="29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</row>
    <row r="837" spans="1:40" x14ac:dyDescent="0.2">
      <c r="A837" s="29"/>
      <c r="B837" s="20"/>
      <c r="C837" s="29"/>
      <c r="D837" s="29"/>
      <c r="E837" s="29"/>
      <c r="F837" s="29"/>
      <c r="G837" s="29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</row>
    <row r="838" spans="1:40" x14ac:dyDescent="0.2">
      <c r="A838" s="29"/>
      <c r="B838" s="20"/>
      <c r="C838" s="29"/>
      <c r="D838" s="29"/>
      <c r="E838" s="29"/>
      <c r="F838" s="29"/>
      <c r="G838" s="29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</row>
    <row r="839" spans="1:40" x14ac:dyDescent="0.2">
      <c r="A839" s="29"/>
      <c r="B839" s="20"/>
      <c r="C839" s="29"/>
      <c r="D839" s="29"/>
      <c r="E839" s="29"/>
      <c r="F839" s="29"/>
      <c r="G839" s="29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</row>
    <row r="840" spans="1:40" x14ac:dyDescent="0.2">
      <c r="A840" s="29"/>
      <c r="B840" s="20"/>
      <c r="C840" s="29"/>
      <c r="D840" s="29"/>
      <c r="E840" s="29"/>
      <c r="F840" s="29"/>
      <c r="G840" s="29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</row>
    <row r="841" spans="1:40" x14ac:dyDescent="0.2">
      <c r="A841" s="29"/>
      <c r="B841" s="20"/>
      <c r="C841" s="29"/>
      <c r="D841" s="29"/>
      <c r="E841" s="29"/>
      <c r="F841" s="29"/>
      <c r="G841" s="29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</row>
    <row r="842" spans="1:40" x14ac:dyDescent="0.2">
      <c r="A842" s="29"/>
      <c r="B842" s="20"/>
      <c r="C842" s="29"/>
      <c r="D842" s="29"/>
      <c r="E842" s="29"/>
      <c r="F842" s="29"/>
      <c r="G842" s="29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</row>
    <row r="843" spans="1:40" x14ac:dyDescent="0.2">
      <c r="A843" s="29"/>
      <c r="B843" s="20"/>
      <c r="C843" s="29"/>
      <c r="D843" s="29"/>
      <c r="E843" s="29"/>
      <c r="F843" s="29"/>
      <c r="G843" s="29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</row>
    <row r="844" spans="1:40" x14ac:dyDescent="0.2">
      <c r="A844" s="29"/>
      <c r="B844" s="20"/>
      <c r="C844" s="29"/>
      <c r="D844" s="29"/>
      <c r="E844" s="29"/>
      <c r="F844" s="29"/>
      <c r="G844" s="29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</row>
    <row r="845" spans="1:40" x14ac:dyDescent="0.2">
      <c r="A845" s="29"/>
      <c r="B845" s="20"/>
      <c r="C845" s="29"/>
      <c r="D845" s="29"/>
      <c r="E845" s="29"/>
      <c r="F845" s="29"/>
      <c r="G845" s="29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</row>
    <row r="846" spans="1:40" x14ac:dyDescent="0.2">
      <c r="A846" s="29"/>
      <c r="B846" s="20"/>
      <c r="C846" s="29"/>
      <c r="D846" s="29"/>
      <c r="E846" s="29"/>
      <c r="F846" s="29"/>
      <c r="G846" s="29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</row>
    <row r="847" spans="1:40" x14ac:dyDescent="0.2">
      <c r="A847" s="29"/>
      <c r="B847" s="20"/>
      <c r="C847" s="29"/>
      <c r="D847" s="29"/>
      <c r="E847" s="29"/>
      <c r="F847" s="29"/>
      <c r="G847" s="29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</row>
    <row r="848" spans="1:40" x14ac:dyDescent="0.2">
      <c r="A848" s="29"/>
      <c r="B848" s="20"/>
      <c r="C848" s="29"/>
      <c r="D848" s="29"/>
      <c r="E848" s="29"/>
      <c r="F848" s="29"/>
      <c r="G848" s="29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</row>
    <row r="849" spans="1:40" x14ac:dyDescent="0.2">
      <c r="A849" s="29"/>
      <c r="B849" s="20"/>
      <c r="C849" s="29"/>
      <c r="D849" s="29"/>
      <c r="E849" s="29"/>
      <c r="F849" s="29"/>
      <c r="G849" s="29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</row>
    <row r="850" spans="1:40" x14ac:dyDescent="0.2">
      <c r="A850" s="29"/>
      <c r="B850" s="20"/>
      <c r="C850" s="29"/>
      <c r="D850" s="29"/>
      <c r="E850" s="29"/>
      <c r="F850" s="29"/>
      <c r="G850" s="29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</row>
    <row r="851" spans="1:40" x14ac:dyDescent="0.2">
      <c r="A851" s="29"/>
      <c r="B851" s="20"/>
      <c r="C851" s="29"/>
      <c r="D851" s="29"/>
      <c r="E851" s="29"/>
      <c r="F851" s="29"/>
      <c r="G851" s="29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</row>
    <row r="852" spans="1:40" x14ac:dyDescent="0.2">
      <c r="A852" s="29"/>
      <c r="B852" s="20"/>
      <c r="C852" s="29"/>
      <c r="D852" s="29"/>
      <c r="E852" s="29"/>
      <c r="F852" s="29"/>
      <c r="G852" s="29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</row>
    <row r="853" spans="1:40" x14ac:dyDescent="0.2">
      <c r="A853" s="29"/>
      <c r="B853" s="20"/>
      <c r="C853" s="29"/>
      <c r="D853" s="29"/>
      <c r="E853" s="29"/>
      <c r="F853" s="29"/>
      <c r="G853" s="29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</row>
    <row r="854" spans="1:40" x14ac:dyDescent="0.2">
      <c r="A854" s="29"/>
      <c r="B854" s="20"/>
      <c r="C854" s="29"/>
      <c r="D854" s="29"/>
      <c r="E854" s="29"/>
      <c r="F854" s="29"/>
      <c r="G854" s="29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</row>
    <row r="855" spans="1:40" x14ac:dyDescent="0.2">
      <c r="A855" s="29"/>
      <c r="B855" s="20"/>
      <c r="C855" s="29"/>
      <c r="D855" s="29"/>
      <c r="E855" s="29"/>
      <c r="F855" s="29"/>
      <c r="G855" s="29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</row>
    <row r="856" spans="1:40" x14ac:dyDescent="0.2">
      <c r="A856" s="29"/>
      <c r="B856" s="20"/>
      <c r="C856" s="29"/>
      <c r="D856" s="29"/>
      <c r="E856" s="29"/>
      <c r="F856" s="29"/>
      <c r="G856" s="29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</row>
    <row r="857" spans="1:40" x14ac:dyDescent="0.2">
      <c r="A857" s="29"/>
      <c r="B857" s="20"/>
      <c r="C857" s="29"/>
      <c r="D857" s="29"/>
      <c r="E857" s="29"/>
      <c r="F857" s="29"/>
      <c r="G857" s="29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</row>
    <row r="858" spans="1:40" x14ac:dyDescent="0.2">
      <c r="A858" s="29"/>
      <c r="B858" s="20"/>
      <c r="C858" s="29"/>
      <c r="D858" s="29"/>
      <c r="E858" s="29"/>
      <c r="F858" s="29"/>
      <c r="G858" s="29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</row>
    <row r="859" spans="1:40" x14ac:dyDescent="0.2">
      <c r="A859" s="29"/>
      <c r="B859" s="20"/>
      <c r="C859" s="29"/>
      <c r="D859" s="29"/>
      <c r="E859" s="29"/>
      <c r="F859" s="29"/>
      <c r="G859" s="29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</row>
    <row r="860" spans="1:40" x14ac:dyDescent="0.2">
      <c r="A860" s="29"/>
      <c r="B860" s="20"/>
      <c r="C860" s="29"/>
      <c r="D860" s="29"/>
      <c r="E860" s="29"/>
      <c r="F860" s="29"/>
      <c r="G860" s="29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</row>
    <row r="861" spans="1:40" x14ac:dyDescent="0.2">
      <c r="A861" s="29"/>
      <c r="B861" s="20"/>
      <c r="C861" s="29"/>
      <c r="D861" s="29"/>
      <c r="E861" s="29"/>
      <c r="F861" s="29"/>
      <c r="G861" s="29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</row>
    <row r="862" spans="1:40" x14ac:dyDescent="0.2">
      <c r="A862" s="29"/>
      <c r="B862" s="20"/>
      <c r="C862" s="29"/>
      <c r="D862" s="29"/>
      <c r="E862" s="29"/>
      <c r="F862" s="29"/>
      <c r="G862" s="29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</row>
    <row r="863" spans="1:40" x14ac:dyDescent="0.2">
      <c r="A863" s="29"/>
      <c r="B863" s="20"/>
      <c r="C863" s="29"/>
      <c r="D863" s="29"/>
      <c r="E863" s="29"/>
      <c r="F863" s="29"/>
      <c r="G863" s="29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</row>
    <row r="864" spans="1:40" x14ac:dyDescent="0.2">
      <c r="A864" s="29"/>
      <c r="B864" s="20"/>
      <c r="C864" s="29"/>
      <c r="D864" s="29"/>
      <c r="E864" s="29"/>
      <c r="F864" s="29"/>
      <c r="G864" s="29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</row>
    <row r="865" spans="1:40" x14ac:dyDescent="0.2">
      <c r="A865" s="29"/>
      <c r="B865" s="20"/>
      <c r="C865" s="29"/>
      <c r="D865" s="29"/>
      <c r="E865" s="29"/>
      <c r="F865" s="29"/>
      <c r="G865" s="29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</row>
    <row r="866" spans="1:40" x14ac:dyDescent="0.2">
      <c r="A866" s="29"/>
      <c r="B866" s="20"/>
      <c r="C866" s="29"/>
      <c r="D866" s="29"/>
      <c r="E866" s="29"/>
      <c r="F866" s="29"/>
      <c r="G866" s="29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</row>
    <row r="867" spans="1:40" x14ac:dyDescent="0.2">
      <c r="A867" s="29"/>
      <c r="B867" s="20"/>
      <c r="C867" s="29"/>
      <c r="D867" s="29"/>
      <c r="E867" s="29"/>
      <c r="F867" s="29"/>
      <c r="G867" s="29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</row>
    <row r="868" spans="1:40" x14ac:dyDescent="0.2">
      <c r="A868" s="29"/>
      <c r="B868" s="20"/>
      <c r="C868" s="29"/>
      <c r="D868" s="29"/>
      <c r="E868" s="29"/>
      <c r="F868" s="29"/>
      <c r="G868" s="29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</row>
    <row r="869" spans="1:40" x14ac:dyDescent="0.2">
      <c r="A869" s="29"/>
      <c r="B869" s="20"/>
      <c r="C869" s="29"/>
      <c r="D869" s="29"/>
      <c r="E869" s="29"/>
      <c r="F869" s="29"/>
      <c r="G869" s="29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</row>
    <row r="870" spans="1:40" x14ac:dyDescent="0.2">
      <c r="A870" s="29"/>
      <c r="B870" s="20"/>
      <c r="C870" s="29"/>
      <c r="D870" s="29"/>
      <c r="E870" s="29"/>
      <c r="F870" s="29"/>
      <c r="G870" s="29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</row>
    <row r="871" spans="1:40" x14ac:dyDescent="0.2">
      <c r="A871" s="29"/>
      <c r="B871" s="20"/>
      <c r="C871" s="29"/>
      <c r="D871" s="29"/>
      <c r="E871" s="29"/>
      <c r="F871" s="29"/>
      <c r="G871" s="29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</row>
    <row r="872" spans="1:40" x14ac:dyDescent="0.2">
      <c r="A872" s="29"/>
      <c r="B872" s="20"/>
      <c r="C872" s="29"/>
      <c r="D872" s="29"/>
      <c r="E872" s="29"/>
      <c r="F872" s="29"/>
      <c r="G872" s="29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</row>
    <row r="873" spans="1:40" x14ac:dyDescent="0.2">
      <c r="A873" s="29"/>
      <c r="B873" s="20"/>
      <c r="C873" s="29"/>
      <c r="D873" s="29"/>
      <c r="E873" s="29"/>
      <c r="F873" s="29"/>
      <c r="G873" s="29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</row>
    <row r="874" spans="1:40" x14ac:dyDescent="0.2">
      <c r="A874" s="29"/>
      <c r="B874" s="20"/>
      <c r="C874" s="29"/>
      <c r="D874" s="29"/>
      <c r="E874" s="29"/>
      <c r="F874" s="29"/>
      <c r="G874" s="29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</row>
    <row r="875" spans="1:40" x14ac:dyDescent="0.2">
      <c r="A875" s="29"/>
      <c r="B875" s="20"/>
      <c r="C875" s="29"/>
      <c r="D875" s="29"/>
      <c r="E875" s="29"/>
      <c r="F875" s="29"/>
      <c r="G875" s="29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</row>
    <row r="876" spans="1:40" x14ac:dyDescent="0.2">
      <c r="A876" s="29"/>
      <c r="B876" s="20"/>
      <c r="C876" s="29"/>
      <c r="D876" s="29"/>
      <c r="E876" s="29"/>
      <c r="F876" s="29"/>
      <c r="G876" s="29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</row>
    <row r="877" spans="1:40" x14ac:dyDescent="0.2">
      <c r="A877" s="29"/>
      <c r="B877" s="20"/>
      <c r="C877" s="29"/>
      <c r="D877" s="29"/>
      <c r="E877" s="29"/>
      <c r="F877" s="29"/>
      <c r="G877" s="29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</row>
    <row r="878" spans="1:40" x14ac:dyDescent="0.2">
      <c r="A878" s="29"/>
      <c r="B878" s="20"/>
      <c r="C878" s="29"/>
      <c r="D878" s="29"/>
      <c r="E878" s="29"/>
      <c r="F878" s="29"/>
      <c r="G878" s="29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</row>
    <row r="879" spans="1:40" x14ac:dyDescent="0.2">
      <c r="A879" s="29"/>
      <c r="B879" s="20"/>
      <c r="C879" s="29"/>
      <c r="D879" s="29"/>
      <c r="E879" s="29"/>
      <c r="F879" s="29"/>
      <c r="G879" s="29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</row>
    <row r="880" spans="1:40" x14ac:dyDescent="0.2">
      <c r="A880" s="29"/>
      <c r="B880" s="20"/>
      <c r="C880" s="29"/>
      <c r="D880" s="29"/>
      <c r="E880" s="29"/>
      <c r="F880" s="29"/>
      <c r="G880" s="29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</row>
    <row r="881" spans="1:40" x14ac:dyDescent="0.2">
      <c r="A881" s="29"/>
      <c r="B881" s="20"/>
      <c r="C881" s="29"/>
      <c r="D881" s="29"/>
      <c r="E881" s="29"/>
      <c r="F881" s="29"/>
      <c r="G881" s="29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</row>
    <row r="882" spans="1:40" x14ac:dyDescent="0.2">
      <c r="A882" s="29"/>
      <c r="B882" s="20"/>
      <c r="C882" s="29"/>
      <c r="D882" s="29"/>
      <c r="E882" s="29"/>
      <c r="F882" s="29"/>
      <c r="G882" s="29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</row>
    <row r="883" spans="1:40" x14ac:dyDescent="0.2">
      <c r="A883" s="29"/>
      <c r="B883" s="20"/>
      <c r="C883" s="29"/>
      <c r="D883" s="29"/>
      <c r="E883" s="29"/>
      <c r="F883" s="29"/>
      <c r="G883" s="29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</row>
    <row r="884" spans="1:40" x14ac:dyDescent="0.2">
      <c r="A884" s="29"/>
      <c r="B884" s="20"/>
      <c r="C884" s="29"/>
      <c r="D884" s="29"/>
      <c r="E884" s="29"/>
      <c r="F884" s="29"/>
      <c r="G884" s="29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</row>
    <row r="885" spans="1:40" x14ac:dyDescent="0.2">
      <c r="A885" s="29"/>
      <c r="B885" s="20"/>
      <c r="C885" s="29"/>
      <c r="D885" s="29"/>
      <c r="E885" s="29"/>
      <c r="F885" s="29"/>
      <c r="G885" s="29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</row>
    <row r="886" spans="1:40" x14ac:dyDescent="0.2">
      <c r="A886" s="29"/>
      <c r="B886" s="20"/>
      <c r="C886" s="29"/>
      <c r="D886" s="29"/>
      <c r="E886" s="29"/>
      <c r="F886" s="29"/>
      <c r="G886" s="29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</row>
    <row r="887" spans="1:40" x14ac:dyDescent="0.2">
      <c r="A887" s="29"/>
      <c r="B887" s="20"/>
      <c r="C887" s="29"/>
      <c r="D887" s="29"/>
      <c r="E887" s="29"/>
      <c r="F887" s="29"/>
      <c r="G887" s="29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</row>
    <row r="888" spans="1:40" x14ac:dyDescent="0.2">
      <c r="A888" s="29"/>
      <c r="B888" s="20"/>
      <c r="C888" s="29"/>
      <c r="D888" s="29"/>
      <c r="E888" s="29"/>
      <c r="F888" s="29"/>
      <c r="G888" s="29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</row>
    <row r="889" spans="1:40" x14ac:dyDescent="0.2">
      <c r="A889" s="29"/>
      <c r="B889" s="20"/>
      <c r="C889" s="29"/>
      <c r="D889" s="29"/>
      <c r="E889" s="29"/>
      <c r="F889" s="29"/>
      <c r="G889" s="29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</row>
    <row r="890" spans="1:40" x14ac:dyDescent="0.2">
      <c r="A890" s="29"/>
      <c r="B890" s="20"/>
      <c r="C890" s="29"/>
      <c r="D890" s="29"/>
      <c r="E890" s="29"/>
      <c r="F890" s="29"/>
      <c r="G890" s="29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</row>
    <row r="891" spans="1:40" x14ac:dyDescent="0.2">
      <c r="A891" s="29"/>
      <c r="B891" s="20"/>
      <c r="C891" s="29"/>
      <c r="D891" s="29"/>
      <c r="E891" s="29"/>
      <c r="F891" s="29"/>
      <c r="G891" s="29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</row>
    <row r="892" spans="1:40" x14ac:dyDescent="0.2">
      <c r="A892" s="29"/>
      <c r="B892" s="20"/>
      <c r="C892" s="29"/>
      <c r="D892" s="29"/>
      <c r="E892" s="29"/>
      <c r="F892" s="29"/>
      <c r="G892" s="29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</row>
    <row r="893" spans="1:40" x14ac:dyDescent="0.2">
      <c r="A893" s="29"/>
      <c r="B893" s="20"/>
      <c r="C893" s="29"/>
      <c r="D893" s="29"/>
      <c r="E893" s="29"/>
      <c r="F893" s="29"/>
      <c r="G893" s="29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</row>
    <row r="894" spans="1:40" x14ac:dyDescent="0.2">
      <c r="A894" s="29"/>
      <c r="B894" s="20"/>
      <c r="C894" s="29"/>
      <c r="D894" s="29"/>
      <c r="E894" s="29"/>
      <c r="F894" s="29"/>
      <c r="G894" s="29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</row>
    <row r="895" spans="1:40" x14ac:dyDescent="0.2">
      <c r="A895" s="29"/>
      <c r="B895" s="20"/>
      <c r="C895" s="29"/>
      <c r="D895" s="29"/>
      <c r="E895" s="29"/>
      <c r="F895" s="29"/>
      <c r="G895" s="29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</row>
    <row r="896" spans="1:40" x14ac:dyDescent="0.2">
      <c r="A896" s="29"/>
      <c r="B896" s="20"/>
      <c r="C896" s="29"/>
      <c r="D896" s="29"/>
      <c r="E896" s="29"/>
      <c r="F896" s="29"/>
      <c r="G896" s="29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</row>
    <row r="897" spans="1:40" x14ac:dyDescent="0.2">
      <c r="A897" s="29"/>
      <c r="B897" s="20"/>
      <c r="C897" s="29"/>
      <c r="D897" s="29"/>
      <c r="E897" s="29"/>
      <c r="F897" s="29"/>
      <c r="G897" s="29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</row>
    <row r="898" spans="1:40" x14ac:dyDescent="0.2">
      <c r="A898" s="29"/>
      <c r="B898" s="20"/>
      <c r="C898" s="29"/>
      <c r="D898" s="29"/>
      <c r="E898" s="29"/>
      <c r="F898" s="29"/>
      <c r="G898" s="29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</row>
    <row r="899" spans="1:40" x14ac:dyDescent="0.2">
      <c r="A899" s="29"/>
      <c r="B899" s="20"/>
      <c r="C899" s="29"/>
      <c r="D899" s="29"/>
      <c r="E899" s="29"/>
      <c r="F899" s="29"/>
      <c r="G899" s="29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</row>
    <row r="900" spans="1:40" x14ac:dyDescent="0.2">
      <c r="A900" s="29"/>
      <c r="B900" s="20"/>
      <c r="C900" s="29"/>
      <c r="D900" s="29"/>
      <c r="E900" s="29"/>
      <c r="F900" s="29"/>
      <c r="G900" s="29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</row>
    <row r="901" spans="1:40" x14ac:dyDescent="0.2">
      <c r="A901" s="29"/>
      <c r="B901" s="20"/>
      <c r="C901" s="29"/>
      <c r="D901" s="29"/>
      <c r="E901" s="29"/>
      <c r="F901" s="29"/>
      <c r="G901" s="29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</row>
    <row r="902" spans="1:40" x14ac:dyDescent="0.2">
      <c r="A902" s="29"/>
      <c r="B902" s="20"/>
      <c r="C902" s="29"/>
      <c r="D902" s="29"/>
      <c r="E902" s="29"/>
      <c r="F902" s="29"/>
      <c r="G902" s="29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</row>
    <row r="903" spans="1:40" x14ac:dyDescent="0.2">
      <c r="A903" s="29"/>
      <c r="B903" s="20"/>
      <c r="C903" s="29"/>
      <c r="D903" s="29"/>
      <c r="E903" s="29"/>
      <c r="F903" s="29"/>
      <c r="G903" s="29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</row>
    <row r="904" spans="1:40" x14ac:dyDescent="0.2">
      <c r="A904" s="29"/>
      <c r="B904" s="20"/>
      <c r="C904" s="29"/>
      <c r="D904" s="29"/>
      <c r="E904" s="29"/>
      <c r="F904" s="29"/>
      <c r="G904" s="29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</row>
    <row r="905" spans="1:40" x14ac:dyDescent="0.2">
      <c r="A905" s="29"/>
      <c r="B905" s="20"/>
      <c r="C905" s="29"/>
      <c r="D905" s="29"/>
      <c r="E905" s="29"/>
      <c r="F905" s="29"/>
      <c r="G905" s="29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</row>
    <row r="906" spans="1:40" x14ac:dyDescent="0.2">
      <c r="A906" s="29"/>
      <c r="B906" s="20"/>
      <c r="C906" s="29"/>
      <c r="D906" s="29"/>
      <c r="E906" s="29"/>
      <c r="F906" s="29"/>
      <c r="G906" s="29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</row>
    <row r="907" spans="1:40" x14ac:dyDescent="0.2">
      <c r="A907" s="29"/>
      <c r="B907" s="20"/>
      <c r="C907" s="29"/>
      <c r="D907" s="29"/>
      <c r="E907" s="29"/>
      <c r="F907" s="29"/>
      <c r="G907" s="29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</row>
    <row r="908" spans="1:40" x14ac:dyDescent="0.2">
      <c r="A908" s="29"/>
      <c r="B908" s="20"/>
      <c r="C908" s="29"/>
      <c r="D908" s="29"/>
      <c r="E908" s="29"/>
      <c r="F908" s="29"/>
      <c r="G908" s="29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</row>
    <row r="909" spans="1:40" x14ac:dyDescent="0.2">
      <c r="A909" s="29"/>
      <c r="B909" s="20"/>
      <c r="C909" s="29"/>
      <c r="D909" s="29"/>
      <c r="E909" s="29"/>
      <c r="F909" s="29"/>
      <c r="G909" s="29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</row>
    <row r="910" spans="1:40" x14ac:dyDescent="0.2">
      <c r="A910" s="29"/>
      <c r="B910" s="20"/>
      <c r="C910" s="29"/>
      <c r="D910" s="29"/>
      <c r="E910" s="29"/>
      <c r="F910" s="29"/>
      <c r="G910" s="29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</row>
    <row r="911" spans="1:40" x14ac:dyDescent="0.2">
      <c r="A911" s="29"/>
      <c r="B911" s="20"/>
      <c r="C911" s="29"/>
      <c r="D911" s="29"/>
      <c r="E911" s="29"/>
      <c r="F911" s="29"/>
      <c r="G911" s="29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</row>
    <row r="912" spans="1:40" x14ac:dyDescent="0.2">
      <c r="A912" s="29"/>
      <c r="B912" s="20"/>
      <c r="C912" s="29"/>
      <c r="D912" s="29"/>
      <c r="E912" s="29"/>
      <c r="F912" s="29"/>
      <c r="G912" s="29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</row>
    <row r="913" spans="1:40" x14ac:dyDescent="0.2">
      <c r="A913" s="29"/>
      <c r="B913" s="20"/>
      <c r="C913" s="29"/>
      <c r="D913" s="29"/>
      <c r="E913" s="29"/>
      <c r="F913" s="29"/>
      <c r="G913" s="29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</row>
    <row r="914" spans="1:40" x14ac:dyDescent="0.2">
      <c r="A914" s="29"/>
      <c r="B914" s="20"/>
      <c r="C914" s="29"/>
      <c r="D914" s="29"/>
      <c r="E914" s="29"/>
      <c r="F914" s="29"/>
      <c r="G914" s="29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</row>
    <row r="915" spans="1:40" x14ac:dyDescent="0.2">
      <c r="A915" s="29"/>
      <c r="B915" s="20"/>
      <c r="C915" s="29"/>
      <c r="D915" s="29"/>
      <c r="E915" s="29"/>
      <c r="F915" s="29"/>
      <c r="G915" s="29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</row>
    <row r="916" spans="1:40" x14ac:dyDescent="0.2">
      <c r="A916" s="29"/>
      <c r="B916" s="20"/>
      <c r="C916" s="29"/>
      <c r="D916" s="29"/>
      <c r="E916" s="29"/>
      <c r="F916" s="29"/>
      <c r="G916" s="29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</row>
    <row r="917" spans="1:40" x14ac:dyDescent="0.2">
      <c r="A917" s="29"/>
      <c r="B917" s="20"/>
      <c r="C917" s="29"/>
      <c r="D917" s="29"/>
      <c r="E917" s="29"/>
      <c r="F917" s="29"/>
      <c r="G917" s="29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</row>
    <row r="918" spans="1:40" x14ac:dyDescent="0.2">
      <c r="A918" s="29"/>
      <c r="B918" s="20"/>
      <c r="C918" s="29"/>
      <c r="D918" s="29"/>
      <c r="E918" s="29"/>
      <c r="F918" s="29"/>
      <c r="G918" s="29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</row>
    <row r="919" spans="1:40" x14ac:dyDescent="0.2">
      <c r="A919" s="29"/>
      <c r="B919" s="20"/>
      <c r="C919" s="29"/>
      <c r="D919" s="29"/>
      <c r="E919" s="29"/>
      <c r="F919" s="29"/>
      <c r="G919" s="29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</row>
    <row r="920" spans="1:40" x14ac:dyDescent="0.2">
      <c r="A920" s="29"/>
      <c r="B920" s="20"/>
      <c r="C920" s="29"/>
      <c r="D920" s="29"/>
      <c r="E920" s="29"/>
      <c r="F920" s="29"/>
      <c r="G920" s="29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</row>
    <row r="921" spans="1:40" x14ac:dyDescent="0.2">
      <c r="A921" s="29"/>
      <c r="B921" s="20"/>
      <c r="C921" s="29"/>
      <c r="D921" s="29"/>
      <c r="E921" s="29"/>
      <c r="F921" s="29"/>
      <c r="G921" s="29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</row>
    <row r="922" spans="1:40" x14ac:dyDescent="0.2">
      <c r="A922" s="29"/>
      <c r="B922" s="20"/>
      <c r="C922" s="29"/>
      <c r="D922" s="29"/>
      <c r="E922" s="29"/>
      <c r="F922" s="29"/>
      <c r="G922" s="29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</row>
    <row r="923" spans="1:40" x14ac:dyDescent="0.2">
      <c r="A923" s="29"/>
      <c r="B923" s="20"/>
      <c r="C923" s="29"/>
      <c r="D923" s="29"/>
      <c r="E923" s="29"/>
      <c r="F923" s="29"/>
      <c r="G923" s="29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</row>
    <row r="924" spans="1:40" x14ac:dyDescent="0.2">
      <c r="A924" s="29"/>
      <c r="B924" s="20"/>
      <c r="C924" s="29"/>
      <c r="D924" s="29"/>
      <c r="E924" s="29"/>
      <c r="F924" s="29"/>
      <c r="G924" s="29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</row>
    <row r="925" spans="1:40" x14ac:dyDescent="0.2">
      <c r="A925" s="29"/>
      <c r="B925" s="20"/>
      <c r="C925" s="29"/>
      <c r="D925" s="29"/>
      <c r="E925" s="29"/>
      <c r="F925" s="29"/>
      <c r="G925" s="29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</row>
    <row r="926" spans="1:40" x14ac:dyDescent="0.2">
      <c r="A926" s="29"/>
      <c r="B926" s="20"/>
      <c r="C926" s="29"/>
      <c r="D926" s="29"/>
      <c r="E926" s="29"/>
      <c r="F926" s="29"/>
      <c r="G926" s="29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</row>
    <row r="927" spans="1:40" x14ac:dyDescent="0.2">
      <c r="A927" s="29"/>
      <c r="B927" s="20"/>
      <c r="C927" s="29"/>
      <c r="D927" s="29"/>
      <c r="E927" s="29"/>
      <c r="F927" s="29"/>
      <c r="G927" s="29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</row>
    <row r="928" spans="1:40" x14ac:dyDescent="0.2">
      <c r="A928" s="29"/>
      <c r="B928" s="20"/>
      <c r="C928" s="29"/>
      <c r="D928" s="29"/>
      <c r="E928" s="29"/>
      <c r="F928" s="29"/>
      <c r="G928" s="29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</row>
    <row r="929" spans="1:40" x14ac:dyDescent="0.2">
      <c r="A929" s="29"/>
      <c r="B929" s="20"/>
      <c r="C929" s="29"/>
      <c r="D929" s="29"/>
      <c r="E929" s="29"/>
      <c r="F929" s="29"/>
      <c r="G929" s="29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</row>
    <row r="930" spans="1:40" x14ac:dyDescent="0.2">
      <c r="A930" s="29"/>
      <c r="B930" s="20"/>
      <c r="C930" s="29"/>
      <c r="D930" s="29"/>
      <c r="E930" s="29"/>
      <c r="F930" s="29"/>
      <c r="G930" s="29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</row>
    <row r="931" spans="1:40" x14ac:dyDescent="0.2">
      <c r="A931" s="29"/>
      <c r="B931" s="20"/>
      <c r="C931" s="29"/>
      <c r="D931" s="29"/>
      <c r="E931" s="29"/>
      <c r="F931" s="29"/>
      <c r="G931" s="29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</row>
    <row r="932" spans="1:40" x14ac:dyDescent="0.2">
      <c r="A932" s="29"/>
      <c r="B932" s="20"/>
      <c r="C932" s="29"/>
      <c r="D932" s="29"/>
      <c r="E932" s="29"/>
      <c r="F932" s="29"/>
      <c r="G932" s="29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</row>
    <row r="933" spans="1:40" x14ac:dyDescent="0.2">
      <c r="A933" s="29"/>
      <c r="B933" s="20"/>
      <c r="C933" s="29"/>
      <c r="D933" s="29"/>
      <c r="E933" s="29"/>
      <c r="F933" s="29"/>
      <c r="G933" s="29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</row>
    <row r="934" spans="1:40" x14ac:dyDescent="0.2">
      <c r="A934" s="29"/>
      <c r="B934" s="20"/>
      <c r="C934" s="29"/>
      <c r="D934" s="29"/>
      <c r="E934" s="29"/>
      <c r="F934" s="29"/>
      <c r="G934" s="29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</row>
    <row r="935" spans="1:40" x14ac:dyDescent="0.2">
      <c r="A935" s="29"/>
      <c r="B935" s="20"/>
      <c r="C935" s="29"/>
      <c r="D935" s="29"/>
      <c r="E935" s="29"/>
      <c r="F935" s="29"/>
      <c r="G935" s="29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</row>
    <row r="936" spans="1:40" x14ac:dyDescent="0.2">
      <c r="A936" s="29"/>
      <c r="B936" s="20"/>
      <c r="C936" s="29"/>
      <c r="D936" s="29"/>
      <c r="E936" s="29"/>
      <c r="F936" s="29"/>
      <c r="G936" s="29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</row>
    <row r="937" spans="1:40" x14ac:dyDescent="0.2">
      <c r="A937" s="29"/>
      <c r="B937" s="20"/>
      <c r="C937" s="29"/>
      <c r="D937" s="29"/>
      <c r="E937" s="29"/>
      <c r="F937" s="29"/>
      <c r="G937" s="29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</row>
    <row r="938" spans="1:40" x14ac:dyDescent="0.2">
      <c r="A938" s="29"/>
      <c r="B938" s="20"/>
      <c r="C938" s="29"/>
      <c r="D938" s="29"/>
      <c r="E938" s="29"/>
      <c r="F938" s="29"/>
      <c r="G938" s="29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</row>
    <row r="939" spans="1:40" x14ac:dyDescent="0.2">
      <c r="A939" s="29"/>
      <c r="B939" s="20"/>
      <c r="C939" s="29"/>
      <c r="D939" s="29"/>
      <c r="E939" s="29"/>
      <c r="F939" s="29"/>
      <c r="G939" s="29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</row>
    <row r="940" spans="1:40" x14ac:dyDescent="0.2">
      <c r="A940" s="29"/>
      <c r="B940" s="20"/>
      <c r="C940" s="29"/>
      <c r="D940" s="29"/>
      <c r="E940" s="29"/>
      <c r="F940" s="29"/>
      <c r="G940" s="29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</row>
    <row r="941" spans="1:40" x14ac:dyDescent="0.2">
      <c r="A941" s="29"/>
      <c r="B941" s="20"/>
      <c r="C941" s="29"/>
      <c r="D941" s="29"/>
      <c r="E941" s="29"/>
      <c r="F941" s="29"/>
      <c r="G941" s="29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</row>
    <row r="942" spans="1:40" x14ac:dyDescent="0.2">
      <c r="A942" s="29"/>
      <c r="B942" s="20"/>
      <c r="C942" s="29"/>
      <c r="D942" s="29"/>
      <c r="E942" s="29"/>
      <c r="F942" s="29"/>
      <c r="G942" s="29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</row>
    <row r="943" spans="1:40" x14ac:dyDescent="0.2">
      <c r="A943" s="29"/>
      <c r="B943" s="20"/>
      <c r="C943" s="29"/>
      <c r="D943" s="29"/>
      <c r="E943" s="29"/>
      <c r="F943" s="29"/>
      <c r="G943" s="29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</row>
    <row r="944" spans="1:40" x14ac:dyDescent="0.2">
      <c r="A944" s="29"/>
      <c r="B944" s="20"/>
      <c r="C944" s="29"/>
      <c r="D944" s="29"/>
      <c r="E944" s="29"/>
      <c r="F944" s="29"/>
      <c r="G944" s="29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</row>
    <row r="945" spans="1:40" x14ac:dyDescent="0.2">
      <c r="A945" s="29"/>
      <c r="B945" s="20"/>
      <c r="C945" s="29"/>
      <c r="D945" s="29"/>
      <c r="E945" s="29"/>
      <c r="F945" s="29"/>
      <c r="G945" s="29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</row>
    <row r="946" spans="1:40" x14ac:dyDescent="0.2">
      <c r="A946" s="29"/>
      <c r="B946" s="20"/>
      <c r="C946" s="29"/>
      <c r="D946" s="29"/>
      <c r="E946" s="29"/>
      <c r="F946" s="29"/>
      <c r="G946" s="29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</row>
    <row r="947" spans="1:40" x14ac:dyDescent="0.2">
      <c r="A947" s="29"/>
      <c r="B947" s="20"/>
      <c r="C947" s="29"/>
      <c r="D947" s="29"/>
      <c r="E947" s="29"/>
      <c r="F947" s="29"/>
      <c r="G947" s="29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</row>
    <row r="948" spans="1:40" x14ac:dyDescent="0.2">
      <c r="A948" s="29"/>
      <c r="B948" s="20"/>
      <c r="C948" s="29"/>
      <c r="D948" s="29"/>
      <c r="E948" s="29"/>
      <c r="F948" s="29"/>
      <c r="G948" s="29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</row>
    <row r="949" spans="1:40" x14ac:dyDescent="0.2">
      <c r="A949" s="29"/>
      <c r="B949" s="20"/>
      <c r="C949" s="29"/>
      <c r="D949" s="29"/>
      <c r="E949" s="29"/>
      <c r="F949" s="29"/>
      <c r="G949" s="29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</row>
    <row r="950" spans="1:40" x14ac:dyDescent="0.2">
      <c r="A950" s="29"/>
      <c r="B950" s="20"/>
      <c r="C950" s="29"/>
      <c r="D950" s="29"/>
      <c r="E950" s="29"/>
      <c r="F950" s="29"/>
      <c r="G950" s="29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</row>
    <row r="951" spans="1:40" x14ac:dyDescent="0.2">
      <c r="A951" s="29"/>
      <c r="B951" s="20"/>
      <c r="C951" s="29"/>
      <c r="D951" s="29"/>
      <c r="E951" s="29"/>
      <c r="F951" s="29"/>
      <c r="G951" s="29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</row>
    <row r="952" spans="1:40" x14ac:dyDescent="0.2">
      <c r="A952" s="29"/>
      <c r="B952" s="20"/>
      <c r="C952" s="29"/>
      <c r="D952" s="29"/>
      <c r="E952" s="29"/>
      <c r="F952" s="29"/>
      <c r="G952" s="29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</row>
    <row r="953" spans="1:40" x14ac:dyDescent="0.2">
      <c r="A953" s="29"/>
      <c r="B953" s="20"/>
      <c r="C953" s="29"/>
      <c r="D953" s="29"/>
      <c r="E953" s="29"/>
      <c r="F953" s="29"/>
      <c r="G953" s="29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</row>
    <row r="954" spans="1:40" x14ac:dyDescent="0.2">
      <c r="A954" s="29"/>
      <c r="B954" s="20"/>
      <c r="C954" s="29"/>
      <c r="D954" s="29"/>
      <c r="E954" s="29"/>
      <c r="F954" s="29"/>
      <c r="G954" s="29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</row>
    <row r="955" spans="1:40" x14ac:dyDescent="0.2">
      <c r="A955" s="29"/>
      <c r="B955" s="20"/>
      <c r="C955" s="29"/>
      <c r="D955" s="29"/>
      <c r="E955" s="29"/>
      <c r="F955" s="29"/>
      <c r="G955" s="29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</row>
    <row r="956" spans="1:40" x14ac:dyDescent="0.2">
      <c r="A956" s="29"/>
      <c r="B956" s="20"/>
      <c r="C956" s="29"/>
      <c r="D956" s="29"/>
      <c r="E956" s="29"/>
      <c r="F956" s="29"/>
      <c r="G956" s="29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</row>
    <row r="957" spans="1:40" x14ac:dyDescent="0.2">
      <c r="A957" s="29"/>
      <c r="B957" s="20"/>
      <c r="C957" s="29"/>
      <c r="D957" s="29"/>
      <c r="E957" s="29"/>
      <c r="F957" s="29"/>
      <c r="G957" s="29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</row>
    <row r="958" spans="1:40" x14ac:dyDescent="0.2">
      <c r="A958" s="29"/>
      <c r="B958" s="20"/>
      <c r="C958" s="29"/>
      <c r="D958" s="29"/>
      <c r="E958" s="29"/>
      <c r="F958" s="29"/>
      <c r="G958" s="29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</row>
    <row r="959" spans="1:40" x14ac:dyDescent="0.2">
      <c r="A959" s="29"/>
      <c r="B959" s="20"/>
      <c r="C959" s="29"/>
      <c r="D959" s="29"/>
      <c r="E959" s="29"/>
      <c r="F959" s="29"/>
      <c r="G959" s="29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</row>
    <row r="960" spans="1:40" x14ac:dyDescent="0.2">
      <c r="A960" s="29"/>
      <c r="B960" s="20"/>
      <c r="C960" s="29"/>
      <c r="D960" s="29"/>
      <c r="E960" s="29"/>
      <c r="F960" s="29"/>
      <c r="G960" s="29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</row>
    <row r="961" spans="1:40" x14ac:dyDescent="0.2">
      <c r="A961" s="29"/>
      <c r="B961" s="20"/>
      <c r="C961" s="29"/>
      <c r="D961" s="29"/>
      <c r="E961" s="29"/>
      <c r="F961" s="29"/>
      <c r="G961" s="29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</row>
    <row r="962" spans="1:40" x14ac:dyDescent="0.2">
      <c r="A962" s="29"/>
      <c r="B962" s="20"/>
      <c r="C962" s="29"/>
      <c r="D962" s="29"/>
      <c r="E962" s="29"/>
      <c r="F962" s="29"/>
      <c r="G962" s="29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</row>
    <row r="963" spans="1:40" x14ac:dyDescent="0.2">
      <c r="A963" s="29"/>
      <c r="B963" s="20"/>
      <c r="C963" s="29"/>
      <c r="D963" s="29"/>
      <c r="E963" s="29"/>
      <c r="F963" s="29"/>
      <c r="G963" s="29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</row>
    <row r="964" spans="1:40" x14ac:dyDescent="0.2">
      <c r="A964" s="29"/>
      <c r="B964" s="20"/>
      <c r="C964" s="29"/>
      <c r="D964" s="29"/>
      <c r="E964" s="29"/>
      <c r="F964" s="29"/>
      <c r="G964" s="29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</row>
    <row r="965" spans="1:40" x14ac:dyDescent="0.2">
      <c r="A965" s="29"/>
      <c r="B965" s="20"/>
      <c r="C965" s="29"/>
      <c r="D965" s="29"/>
      <c r="E965" s="29"/>
      <c r="F965" s="29"/>
      <c r="G965" s="29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</row>
    <row r="966" spans="1:40" x14ac:dyDescent="0.2">
      <c r="A966" s="29"/>
      <c r="B966" s="20"/>
      <c r="C966" s="29"/>
      <c r="D966" s="29"/>
      <c r="E966" s="29"/>
      <c r="F966" s="29"/>
      <c r="G966" s="29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</row>
    <row r="967" spans="1:40" x14ac:dyDescent="0.2">
      <c r="A967" s="29"/>
      <c r="B967" s="20"/>
      <c r="C967" s="29"/>
      <c r="D967" s="29"/>
      <c r="E967" s="29"/>
      <c r="F967" s="29"/>
      <c r="G967" s="29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</row>
    <row r="968" spans="1:40" x14ac:dyDescent="0.2">
      <c r="A968" s="29"/>
      <c r="B968" s="20"/>
      <c r="C968" s="29"/>
      <c r="D968" s="29"/>
      <c r="E968" s="29"/>
      <c r="F968" s="29"/>
      <c r="G968" s="29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</row>
    <row r="969" spans="1:40" x14ac:dyDescent="0.2">
      <c r="A969" s="29"/>
      <c r="B969" s="20"/>
      <c r="C969" s="29"/>
      <c r="D969" s="29"/>
      <c r="E969" s="29"/>
      <c r="F969" s="29"/>
      <c r="G969" s="29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</row>
    <row r="970" spans="1:40" x14ac:dyDescent="0.2">
      <c r="A970" s="29"/>
      <c r="B970" s="20"/>
      <c r="C970" s="29"/>
      <c r="D970" s="29"/>
      <c r="E970" s="29"/>
      <c r="F970" s="29"/>
      <c r="G970" s="29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</row>
    <row r="971" spans="1:40" x14ac:dyDescent="0.2">
      <c r="A971" s="29"/>
      <c r="B971" s="20"/>
      <c r="C971" s="29"/>
      <c r="D971" s="29"/>
      <c r="E971" s="29"/>
      <c r="F971" s="29"/>
      <c r="G971" s="29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</row>
    <row r="972" spans="1:40" x14ac:dyDescent="0.2">
      <c r="A972" s="29"/>
      <c r="B972" s="20"/>
      <c r="C972" s="29"/>
      <c r="D972" s="29"/>
      <c r="E972" s="29"/>
      <c r="F972" s="29"/>
      <c r="G972" s="29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</row>
    <row r="973" spans="1:40" x14ac:dyDescent="0.2">
      <c r="A973" s="29"/>
      <c r="B973" s="20"/>
      <c r="C973" s="29"/>
      <c r="D973" s="29"/>
      <c r="E973" s="29"/>
      <c r="F973" s="29"/>
      <c r="G973" s="29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</row>
    <row r="974" spans="1:40" x14ac:dyDescent="0.2">
      <c r="A974" s="29"/>
      <c r="B974" s="20"/>
      <c r="C974" s="29"/>
      <c r="D974" s="29"/>
      <c r="E974" s="29"/>
      <c r="F974" s="29"/>
      <c r="G974" s="29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</row>
    <row r="975" spans="1:40" x14ac:dyDescent="0.2">
      <c r="A975" s="29"/>
      <c r="B975" s="20"/>
      <c r="C975" s="29"/>
      <c r="D975" s="29"/>
      <c r="E975" s="29"/>
      <c r="F975" s="29"/>
      <c r="G975" s="29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</row>
    <row r="976" spans="1:40" x14ac:dyDescent="0.2">
      <c r="A976" s="29"/>
      <c r="B976" s="20"/>
      <c r="C976" s="29"/>
      <c r="D976" s="29"/>
      <c r="E976" s="29"/>
      <c r="F976" s="29"/>
      <c r="G976" s="29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</row>
    <row r="977" spans="1:40" x14ac:dyDescent="0.2">
      <c r="A977" s="29"/>
      <c r="B977" s="20"/>
      <c r="C977" s="29"/>
      <c r="D977" s="29"/>
      <c r="E977" s="29"/>
      <c r="F977" s="29"/>
      <c r="G977" s="29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</row>
    <row r="978" spans="1:40" x14ac:dyDescent="0.2">
      <c r="A978" s="29"/>
      <c r="B978" s="20"/>
      <c r="C978" s="29"/>
      <c r="D978" s="29"/>
      <c r="E978" s="29"/>
      <c r="F978" s="29"/>
      <c r="G978" s="29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</row>
    <row r="979" spans="1:40" x14ac:dyDescent="0.2">
      <c r="A979" s="29"/>
      <c r="B979" s="20"/>
      <c r="C979" s="29"/>
      <c r="D979" s="29"/>
      <c r="E979" s="29"/>
      <c r="F979" s="29"/>
      <c r="G979" s="29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</row>
    <row r="980" spans="1:40" x14ac:dyDescent="0.2">
      <c r="A980" s="29"/>
      <c r="B980" s="20"/>
      <c r="C980" s="29"/>
      <c r="D980" s="29"/>
      <c r="E980" s="29"/>
      <c r="F980" s="29"/>
      <c r="G980" s="29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</row>
    <row r="981" spans="1:40" x14ac:dyDescent="0.2">
      <c r="A981" s="29"/>
      <c r="B981" s="20"/>
      <c r="C981" s="29"/>
      <c r="D981" s="29"/>
      <c r="E981" s="29"/>
      <c r="F981" s="29"/>
      <c r="G981" s="29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</row>
    <row r="982" spans="1:40" x14ac:dyDescent="0.2">
      <c r="A982" s="29"/>
      <c r="B982" s="20"/>
      <c r="C982" s="29"/>
      <c r="D982" s="29"/>
      <c r="E982" s="29"/>
      <c r="F982" s="29"/>
      <c r="G982" s="29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</row>
    <row r="983" spans="1:40" x14ac:dyDescent="0.2">
      <c r="A983" s="29"/>
      <c r="B983" s="20"/>
      <c r="C983" s="29"/>
      <c r="D983" s="29"/>
      <c r="E983" s="29"/>
      <c r="F983" s="29"/>
      <c r="G983" s="29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</row>
    <row r="984" spans="1:40" x14ac:dyDescent="0.2">
      <c r="A984" s="29"/>
      <c r="B984" s="20"/>
      <c r="C984" s="29"/>
      <c r="D984" s="29"/>
      <c r="E984" s="29"/>
      <c r="F984" s="29"/>
      <c r="G984" s="29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</row>
    <row r="985" spans="1:40" x14ac:dyDescent="0.2">
      <c r="A985" s="29"/>
      <c r="B985" s="20"/>
      <c r="C985" s="29"/>
      <c r="D985" s="29"/>
      <c r="E985" s="29"/>
      <c r="F985" s="29"/>
      <c r="G985" s="29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</row>
    <row r="986" spans="1:40" x14ac:dyDescent="0.2">
      <c r="A986" s="29"/>
      <c r="B986" s="20"/>
      <c r="C986" s="29"/>
      <c r="D986" s="29"/>
      <c r="E986" s="29"/>
      <c r="F986" s="29"/>
      <c r="G986" s="29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</row>
    <row r="987" spans="1:40" x14ac:dyDescent="0.2">
      <c r="A987" s="29"/>
      <c r="B987" s="20"/>
      <c r="C987" s="29"/>
      <c r="D987" s="29"/>
      <c r="E987" s="29"/>
      <c r="F987" s="29"/>
      <c r="G987" s="29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</row>
    <row r="988" spans="1:40" x14ac:dyDescent="0.2">
      <c r="A988" s="29"/>
      <c r="B988" s="20"/>
      <c r="C988" s="29"/>
      <c r="D988" s="29"/>
      <c r="E988" s="29"/>
      <c r="F988" s="29"/>
      <c r="G988" s="29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</row>
    <row r="989" spans="1:40" x14ac:dyDescent="0.2">
      <c r="A989" s="29"/>
      <c r="B989" s="20"/>
      <c r="C989" s="29"/>
      <c r="D989" s="29"/>
      <c r="E989" s="29"/>
      <c r="F989" s="29"/>
      <c r="G989" s="29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</row>
    <row r="990" spans="1:40" x14ac:dyDescent="0.2">
      <c r="A990" s="29"/>
      <c r="B990" s="20"/>
      <c r="C990" s="29"/>
      <c r="D990" s="29"/>
      <c r="E990" s="29"/>
      <c r="F990" s="29"/>
      <c r="G990" s="29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</row>
    <row r="991" spans="1:40" x14ac:dyDescent="0.2">
      <c r="A991" s="29"/>
      <c r="B991" s="20"/>
      <c r="C991" s="29"/>
      <c r="D991" s="29"/>
      <c r="E991" s="29"/>
      <c r="F991" s="29"/>
      <c r="G991" s="29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</row>
    <row r="992" spans="1:40" x14ac:dyDescent="0.2">
      <c r="A992" s="29"/>
      <c r="B992" s="20"/>
      <c r="C992" s="29"/>
      <c r="D992" s="29"/>
      <c r="E992" s="29"/>
      <c r="F992" s="29"/>
      <c r="G992" s="29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</row>
    <row r="993" spans="1:40" x14ac:dyDescent="0.2">
      <c r="A993" s="29"/>
      <c r="B993" s="20"/>
      <c r="C993" s="29"/>
      <c r="D993" s="29"/>
      <c r="E993" s="29"/>
      <c r="F993" s="29"/>
      <c r="G993" s="29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</row>
    <row r="994" spans="1:40" x14ac:dyDescent="0.2">
      <c r="A994" s="29"/>
      <c r="B994" s="20"/>
      <c r="C994" s="29"/>
      <c r="D994" s="29"/>
      <c r="E994" s="29"/>
      <c r="F994" s="29"/>
      <c r="G994" s="29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</row>
    <row r="995" spans="1:40" x14ac:dyDescent="0.2">
      <c r="A995" s="29"/>
      <c r="B995" s="20"/>
      <c r="C995" s="29"/>
      <c r="D995" s="29"/>
      <c r="E995" s="29"/>
      <c r="F995" s="29"/>
      <c r="G995" s="29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</row>
    <row r="996" spans="1:40" x14ac:dyDescent="0.2">
      <c r="A996" s="29"/>
      <c r="B996" s="20"/>
      <c r="C996" s="29"/>
      <c r="D996" s="29"/>
      <c r="E996" s="29"/>
      <c r="F996" s="29"/>
      <c r="G996" s="29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</row>
    <row r="997" spans="1:40" x14ac:dyDescent="0.2">
      <c r="A997" s="29"/>
      <c r="B997" s="20"/>
      <c r="C997" s="29"/>
      <c r="D997" s="29"/>
      <c r="E997" s="29"/>
      <c r="F997" s="29"/>
      <c r="G997" s="29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</row>
    <row r="998" spans="1:40" x14ac:dyDescent="0.2">
      <c r="A998" s="29"/>
      <c r="B998" s="20"/>
      <c r="C998" s="29"/>
      <c r="D998" s="29"/>
      <c r="E998" s="29"/>
      <c r="F998" s="29"/>
      <c r="G998" s="29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</row>
    <row r="999" spans="1:40" x14ac:dyDescent="0.2">
      <c r="A999" s="29"/>
      <c r="B999" s="20"/>
      <c r="C999" s="29"/>
      <c r="D999" s="29"/>
      <c r="E999" s="29"/>
      <c r="F999" s="29"/>
      <c r="G999" s="29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</row>
    <row r="1000" spans="1:40" x14ac:dyDescent="0.2">
      <c r="A1000" s="29"/>
      <c r="B1000" s="20"/>
      <c r="C1000" s="29"/>
      <c r="D1000" s="29"/>
      <c r="E1000" s="29"/>
      <c r="F1000" s="29"/>
      <c r="G1000" s="29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</row>
  </sheetData>
  <conditionalFormatting sqref="A3:AN93">
    <cfRule type="expression" dxfId="1" priority="1">
      <formula>SUM($A3:$G3)&gt;0</formula>
    </cfRule>
    <cfRule type="expression" dxfId="0" priority="2">
      <formula>CONCATENATE($AK3,$AL3,$AM3,$AN3)&lt;&gt;""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L33"/>
  <sheetViews>
    <sheetView workbookViewId="0">
      <selection sqref="A1:K1"/>
    </sheetView>
  </sheetViews>
  <sheetFormatPr defaultColWidth="12.5703125" defaultRowHeight="15.75" customHeight="1" x14ac:dyDescent="0.2"/>
  <cols>
    <col min="1" max="1" width="7.140625" customWidth="1"/>
    <col min="2" max="2" width="18.85546875" customWidth="1"/>
    <col min="3" max="3" width="10.42578125" customWidth="1"/>
    <col min="4" max="4" width="11.85546875" customWidth="1"/>
    <col min="5" max="5" width="15.140625" customWidth="1"/>
    <col min="6" max="7" width="11.85546875" customWidth="1"/>
    <col min="8" max="8" width="10.42578125" customWidth="1"/>
    <col min="9" max="9" width="11.42578125" customWidth="1"/>
    <col min="10" max="10" width="10.140625" customWidth="1"/>
    <col min="11" max="11" width="26.42578125" customWidth="1"/>
    <col min="12" max="12" width="0.42578125" customWidth="1"/>
  </cols>
  <sheetData>
    <row r="1" spans="1:12" ht="18" x14ac:dyDescent="0.25">
      <c r="A1" s="45">
        <v>45753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30">
        <v>10</v>
      </c>
    </row>
    <row r="2" spans="1:12" ht="18" x14ac:dyDescent="0.25">
      <c r="A2" s="47" t="s">
        <v>47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33" customHeight="1" x14ac:dyDescent="0.2">
      <c r="A3" s="31" t="s">
        <v>2</v>
      </c>
      <c r="B3" s="31" t="s">
        <v>48</v>
      </c>
      <c r="C3" s="31" t="s">
        <v>49</v>
      </c>
      <c r="D3" s="31" t="s">
        <v>50</v>
      </c>
      <c r="E3" s="32" t="s">
        <v>51</v>
      </c>
      <c r="F3" s="31" t="s">
        <v>52</v>
      </c>
      <c r="G3" s="32" t="s">
        <v>53</v>
      </c>
      <c r="H3" s="31" t="s">
        <v>54</v>
      </c>
      <c r="I3" s="31" t="s">
        <v>55</v>
      </c>
      <c r="J3" s="31" t="s">
        <v>56</v>
      </c>
      <c r="K3" s="31" t="s">
        <v>57</v>
      </c>
      <c r="L3" s="33"/>
    </row>
    <row r="4" spans="1:12" ht="12.75" x14ac:dyDescent="0.2">
      <c r="A4" s="14">
        <v>1</v>
      </c>
      <c r="B4" s="13" t="str">
        <f t="array" aca="1" ref="B4" ca="1">IFERROR(INDEX(Input!$O:$O,MATCH(CONCATENATE($A$1,"_Sunday League_",$L$1,"_",$A4),Input!$I:$I,0)),"")</f>
        <v>Philip Brant</v>
      </c>
      <c r="C4" s="14" t="str">
        <f ca="1">IF(B4="","","SW")</f>
        <v>SW</v>
      </c>
      <c r="D4" s="14" t="str">
        <f t="array" aca="1" ref="D4" ca="1">IFERROR(INDEX(Input!$P:$P,MATCH(CONCATENATE($A$1,"_Sunday League_",$L$1,"_",$A4),Input!$I:$I,0)),"")</f>
        <v>Vet</v>
      </c>
      <c r="E4" s="34">
        <f t="array" aca="1" ref="E4" ca="1">IFERROR(INDEX(Input!$Q:$Q,MATCH(CONCATENATE($A$1,"_Sunday League_",$L$1,"_",$A4),Input!$I:$I,0)),"")</f>
        <v>1.8321759259259201E-2</v>
      </c>
      <c r="F4" s="14" t="str">
        <f t="array" aca="1" ref="F4" ca="1">IFERROR(INDEX(Input!$AF:$AF,MATCH(CONCATENATE($A$1,"_Sunday League_",$L$1,"_",$A4),Input!$I:$I,0)),"")</f>
        <v/>
      </c>
      <c r="G4" s="34">
        <f t="array" aca="1" ref="G4" ca="1">IFERROR(INDEX(Input!$T:$T,MATCH(CONCATENATE($A$1,"_Sunday League_",$L$1,"_",$A4),Input!$I:$I,0)),"")</f>
        <v>1.2488000000000001E-2</v>
      </c>
      <c r="H4" s="14">
        <f t="array" aca="1" ref="H4" ca="1">IFERROR(INDEX(Input!$U:$U,MATCH(CONCATENATE($A$1,"_Sunday League_",$L$1,"_",$A4),Input!$I:$I,0)),"")</f>
        <v>1</v>
      </c>
      <c r="I4" s="34">
        <f t="array" aca="1" ref="I4" ca="1">IF(OR($D4="Vet",$D4="Woman Vet"),INDEX(Input!$W:$W,MATCH(CONCATENATE($A$1,"_Sunday League_",$L$1,"_",$A4),Input!$I:$I,0)),"")</f>
        <v>1.57986111111111E-2</v>
      </c>
      <c r="J4" s="14">
        <f t="array" aca="1" ref="J4" ca="1">IF(OR($D4="Vet",$D4="Woman Vet"),INDEX(Input!$X:$X,MATCH(CONCATENATE($A$1,"_Sunday League_",$L$1,"_",$A4),Input!$I:$I,0)),"")</f>
        <v>1</v>
      </c>
      <c r="K4" s="35" t="str">
        <f t="array" aca="1" ref="K4" ca="1">IFERROR(INDEX(Input!$R:$R,MATCH(CONCATENATE($A$1,"_Sunday League_",$L$1,"_",$A4),Input!$I:$I,0)),"")</f>
        <v>First E7 10 mile TT</v>
      </c>
      <c r="L4" s="16" t="str">
        <f t="array" aca="1" ref="L4" ca="1">IF($D4="*Vet*",INDEX(Input!$X:$X,MATCH(CONCATENATE($A$1,"_Sunday League_",$L$1,"_",B4),Input!$I:$I,0)),"")</f>
        <v/>
      </c>
    </row>
    <row r="5" spans="1:12" ht="12.75" x14ac:dyDescent="0.2">
      <c r="A5" s="14"/>
      <c r="B5" s="13"/>
      <c r="C5" s="14"/>
      <c r="D5" s="14"/>
      <c r="E5" s="34"/>
      <c r="F5" s="14"/>
      <c r="G5" s="34"/>
      <c r="H5" s="14"/>
      <c r="I5" s="14"/>
      <c r="J5" s="14"/>
      <c r="K5" s="35"/>
    </row>
    <row r="6" spans="1:12" ht="12.75" x14ac:dyDescent="0.2">
      <c r="A6" s="14"/>
      <c r="B6" s="13" t="s">
        <v>58</v>
      </c>
      <c r="C6" s="48"/>
      <c r="D6" s="49"/>
      <c r="E6" s="34"/>
      <c r="F6" s="14"/>
      <c r="G6" s="34"/>
      <c r="H6" s="14"/>
      <c r="I6" s="14"/>
      <c r="J6" s="14"/>
      <c r="K6" s="35"/>
    </row>
    <row r="7" spans="1:12" ht="12.75" x14ac:dyDescent="0.2">
      <c r="A7" s="14"/>
      <c r="B7" s="13" t="s">
        <v>59</v>
      </c>
      <c r="C7" s="48" t="s">
        <v>60</v>
      </c>
      <c r="D7" s="49"/>
      <c r="E7" s="34">
        <v>1.636574074074074E-2</v>
      </c>
      <c r="F7" s="14"/>
      <c r="G7" s="34"/>
      <c r="H7" s="14"/>
      <c r="I7" s="14"/>
      <c r="J7" s="14"/>
      <c r="K7" s="35" t="s">
        <v>61</v>
      </c>
    </row>
    <row r="8" spans="1:12" ht="12.75" x14ac:dyDescent="0.2">
      <c r="A8" s="14"/>
      <c r="B8" s="13" t="s">
        <v>62</v>
      </c>
      <c r="C8" s="48" t="s">
        <v>63</v>
      </c>
      <c r="D8" s="49"/>
      <c r="E8" s="34">
        <v>1.8506944444444444E-2</v>
      </c>
      <c r="F8" s="14"/>
      <c r="G8" s="34"/>
      <c r="H8" s="14"/>
      <c r="I8" s="14"/>
      <c r="J8" s="14"/>
      <c r="K8" s="35" t="s">
        <v>64</v>
      </c>
    </row>
    <row r="9" spans="1:12" ht="12.75" x14ac:dyDescent="0.2">
      <c r="A9" s="14"/>
      <c r="B9" s="13" t="s">
        <v>65</v>
      </c>
      <c r="C9" s="48" t="s">
        <v>66</v>
      </c>
      <c r="D9" s="49"/>
      <c r="E9" s="34">
        <v>0.02</v>
      </c>
      <c r="F9" s="34"/>
      <c r="G9" s="34"/>
      <c r="H9" s="14"/>
      <c r="I9" s="14"/>
      <c r="J9" s="14"/>
      <c r="K9" s="35" t="s">
        <v>67</v>
      </c>
    </row>
    <row r="10" spans="1:12" ht="12.75" x14ac:dyDescent="0.2">
      <c r="A10" s="14"/>
      <c r="B10" s="13" t="s">
        <v>68</v>
      </c>
      <c r="C10" s="48" t="s">
        <v>63</v>
      </c>
      <c r="D10" s="49"/>
      <c r="E10" s="34">
        <v>2.3692129629629629E-2</v>
      </c>
      <c r="F10" s="34"/>
      <c r="G10" s="34"/>
      <c r="H10" s="14"/>
      <c r="I10" s="14"/>
      <c r="J10" s="14"/>
      <c r="K10" s="35" t="s">
        <v>69</v>
      </c>
    </row>
    <row r="11" spans="1:12" ht="12.75" x14ac:dyDescent="0.2">
      <c r="A11" s="14"/>
      <c r="B11" s="13"/>
      <c r="C11" s="14"/>
      <c r="D11" s="14"/>
      <c r="E11" s="34"/>
      <c r="F11" s="34"/>
      <c r="G11" s="34"/>
      <c r="H11" s="14"/>
      <c r="I11" s="14"/>
      <c r="J11" s="14"/>
      <c r="K11" s="35"/>
    </row>
    <row r="12" spans="1:12" ht="12.75" x14ac:dyDescent="0.2">
      <c r="A12" s="14"/>
      <c r="B12" s="13"/>
      <c r="C12" s="14"/>
      <c r="D12" s="14"/>
      <c r="E12" s="34"/>
      <c r="F12" s="34"/>
      <c r="G12" s="34"/>
      <c r="H12" s="14"/>
      <c r="I12" s="14"/>
      <c r="J12" s="14"/>
      <c r="K12" s="35"/>
    </row>
    <row r="13" spans="1:12" ht="12.75" x14ac:dyDescent="0.2">
      <c r="A13" s="14"/>
      <c r="B13" s="13"/>
      <c r="C13" s="14"/>
      <c r="D13" s="14"/>
      <c r="E13" s="34"/>
      <c r="F13" s="34"/>
      <c r="G13" s="34"/>
      <c r="H13" s="14"/>
      <c r="I13" s="14"/>
      <c r="J13" s="14"/>
      <c r="K13" s="35"/>
    </row>
    <row r="14" spans="1:12" ht="12.75" x14ac:dyDescent="0.2">
      <c r="A14" s="14"/>
      <c r="B14" s="13"/>
      <c r="C14" s="14"/>
      <c r="D14" s="14"/>
      <c r="E14" s="34"/>
      <c r="F14" s="34"/>
      <c r="G14" s="34"/>
      <c r="H14" s="14"/>
      <c r="I14" s="14"/>
      <c r="J14" s="14"/>
      <c r="K14" s="35"/>
    </row>
    <row r="15" spans="1:12" ht="12.75" x14ac:dyDescent="0.2">
      <c r="A15" s="14"/>
      <c r="B15" s="13"/>
      <c r="C15" s="14"/>
      <c r="D15" s="14"/>
      <c r="E15" s="34"/>
      <c r="F15" s="34"/>
      <c r="G15" s="34"/>
      <c r="H15" s="14"/>
      <c r="I15" s="14"/>
      <c r="J15" s="14"/>
      <c r="K15" s="35"/>
    </row>
    <row r="16" spans="1:12" ht="12.75" x14ac:dyDescent="0.2">
      <c r="A16" s="14"/>
      <c r="B16" s="13"/>
      <c r="C16" s="14"/>
      <c r="D16" s="14"/>
      <c r="E16" s="34"/>
      <c r="F16" s="34"/>
      <c r="G16" s="34"/>
      <c r="H16" s="14"/>
      <c r="I16" s="14"/>
      <c r="J16" s="14"/>
      <c r="K16" s="35"/>
    </row>
    <row r="17" spans="1:11" ht="12.75" x14ac:dyDescent="0.2">
      <c r="A17" s="14"/>
      <c r="B17" s="13"/>
      <c r="C17" s="14"/>
      <c r="D17" s="14"/>
      <c r="E17" s="34"/>
      <c r="F17" s="34"/>
      <c r="G17" s="34"/>
      <c r="H17" s="14"/>
      <c r="I17" s="14"/>
      <c r="J17" s="14"/>
      <c r="K17" s="35"/>
    </row>
    <row r="18" spans="1:11" ht="12.75" x14ac:dyDescent="0.2">
      <c r="A18" s="14"/>
      <c r="B18" s="13"/>
      <c r="C18" s="14"/>
      <c r="D18" s="14"/>
      <c r="E18" s="34"/>
      <c r="F18" s="34"/>
      <c r="G18" s="34"/>
      <c r="H18" s="14"/>
      <c r="I18" s="14"/>
      <c r="J18" s="14"/>
      <c r="K18" s="35"/>
    </row>
    <row r="19" spans="1:11" ht="12.75" x14ac:dyDescent="0.2">
      <c r="A19" s="14"/>
      <c r="B19" s="13"/>
      <c r="C19" s="14"/>
      <c r="D19" s="14"/>
      <c r="E19" s="34"/>
      <c r="F19" s="34"/>
      <c r="G19" s="34"/>
      <c r="H19" s="14"/>
      <c r="I19" s="14"/>
      <c r="J19" s="14"/>
      <c r="K19" s="35"/>
    </row>
    <row r="20" spans="1:11" ht="12.75" x14ac:dyDescent="0.2">
      <c r="A20" s="14"/>
      <c r="B20" s="13"/>
      <c r="C20" s="14"/>
      <c r="D20" s="14"/>
      <c r="E20" s="34"/>
      <c r="F20" s="34"/>
      <c r="G20" s="34"/>
      <c r="H20" s="14"/>
      <c r="I20" s="14"/>
      <c r="J20" s="14"/>
      <c r="K20" s="35"/>
    </row>
    <row r="21" spans="1:11" ht="12.75" x14ac:dyDescent="0.2">
      <c r="A21" s="14"/>
      <c r="B21" s="13"/>
      <c r="C21" s="14"/>
      <c r="D21" s="14"/>
      <c r="E21" s="34"/>
      <c r="F21" s="34"/>
      <c r="G21" s="34"/>
      <c r="H21" s="14"/>
      <c r="I21" s="14"/>
      <c r="J21" s="14"/>
      <c r="K21" s="35"/>
    </row>
    <row r="22" spans="1:11" ht="12.75" x14ac:dyDescent="0.2">
      <c r="A22" s="14"/>
      <c r="B22" s="13"/>
      <c r="C22" s="14"/>
      <c r="D22" s="14"/>
      <c r="E22" s="34"/>
      <c r="F22" s="34"/>
      <c r="G22" s="34"/>
      <c r="H22" s="14"/>
      <c r="I22" s="14"/>
      <c r="J22" s="14"/>
      <c r="K22" s="35"/>
    </row>
    <row r="23" spans="1:11" ht="12.75" x14ac:dyDescent="0.2">
      <c r="A23" s="14"/>
      <c r="B23" s="13"/>
      <c r="C23" s="14"/>
      <c r="D23" s="14"/>
      <c r="E23" s="34"/>
      <c r="F23" s="34"/>
      <c r="G23" s="34"/>
      <c r="H23" s="14"/>
      <c r="I23" s="14"/>
      <c r="J23" s="14"/>
      <c r="K23" s="35"/>
    </row>
    <row r="24" spans="1:11" ht="12.75" x14ac:dyDescent="0.2">
      <c r="A24" s="14"/>
      <c r="B24" s="13"/>
      <c r="C24" s="14"/>
      <c r="D24" s="14"/>
      <c r="E24" s="34"/>
      <c r="F24" s="34"/>
      <c r="G24" s="34"/>
      <c r="H24" s="14"/>
      <c r="I24" s="14"/>
      <c r="J24" s="14"/>
      <c r="K24" s="35"/>
    </row>
    <row r="25" spans="1:11" ht="12.75" x14ac:dyDescent="0.2">
      <c r="A25" s="14"/>
      <c r="B25" s="13"/>
      <c r="C25" s="14"/>
      <c r="D25" s="14"/>
      <c r="E25" s="34"/>
      <c r="F25" s="34"/>
      <c r="G25" s="34"/>
      <c r="H25" s="14"/>
      <c r="I25" s="14"/>
      <c r="J25" s="14"/>
      <c r="K25" s="35"/>
    </row>
    <row r="26" spans="1:11" ht="12.75" x14ac:dyDescent="0.2">
      <c r="A26" s="14"/>
      <c r="B26" s="13"/>
      <c r="C26" s="14"/>
      <c r="D26" s="14"/>
      <c r="E26" s="34"/>
      <c r="F26" s="34"/>
      <c r="G26" s="34"/>
      <c r="H26" s="14"/>
      <c r="I26" s="14"/>
      <c r="J26" s="14"/>
      <c r="K26" s="35"/>
    </row>
    <row r="27" spans="1:11" ht="12.75" x14ac:dyDescent="0.2">
      <c r="A27" s="14"/>
      <c r="B27" s="13"/>
      <c r="C27" s="14"/>
      <c r="D27" s="14"/>
      <c r="E27" s="34"/>
      <c r="F27" s="34"/>
      <c r="G27" s="34"/>
      <c r="H27" s="14"/>
      <c r="I27" s="14"/>
      <c r="J27" s="14"/>
      <c r="K27" s="35"/>
    </row>
    <row r="28" spans="1:11" ht="12.75" x14ac:dyDescent="0.2">
      <c r="A28" s="14"/>
      <c r="B28" s="13"/>
      <c r="C28" s="14"/>
      <c r="D28" s="14"/>
      <c r="E28" s="34"/>
      <c r="F28" s="34"/>
      <c r="G28" s="34"/>
      <c r="H28" s="14"/>
      <c r="I28" s="14"/>
      <c r="J28" s="14"/>
      <c r="K28" s="35"/>
    </row>
    <row r="29" spans="1:11" ht="12.75" x14ac:dyDescent="0.2">
      <c r="A29" s="14"/>
      <c r="B29" s="13"/>
      <c r="C29" s="14"/>
      <c r="D29" s="14"/>
      <c r="E29" s="34"/>
      <c r="F29" s="34"/>
      <c r="G29" s="34"/>
      <c r="H29" s="14"/>
      <c r="I29" s="14"/>
      <c r="J29" s="14"/>
      <c r="K29" s="35"/>
    </row>
    <row r="30" spans="1:11" ht="12.75" x14ac:dyDescent="0.2">
      <c r="A30" s="14"/>
      <c r="B30" s="13"/>
      <c r="C30" s="14"/>
      <c r="D30" s="14"/>
      <c r="E30" s="34"/>
      <c r="F30" s="34"/>
      <c r="G30" s="34"/>
      <c r="H30" s="14"/>
      <c r="I30" s="14"/>
      <c r="J30" s="14"/>
      <c r="K30" s="35"/>
    </row>
    <row r="31" spans="1:11" ht="12.75" x14ac:dyDescent="0.2">
      <c r="A31" s="14"/>
      <c r="B31" s="13"/>
      <c r="C31" s="14"/>
      <c r="D31" s="14"/>
      <c r="E31" s="34"/>
      <c r="F31" s="34"/>
      <c r="G31" s="34"/>
      <c r="H31" s="14"/>
      <c r="I31" s="14"/>
      <c r="J31" s="14"/>
      <c r="K31" s="35"/>
    </row>
    <row r="32" spans="1:11" ht="12.75" x14ac:dyDescent="0.2">
      <c r="A32" s="14"/>
      <c r="B32" s="13"/>
      <c r="C32" s="14"/>
      <c r="D32" s="14"/>
      <c r="E32" s="34"/>
      <c r="F32" s="34"/>
      <c r="G32" s="34"/>
      <c r="H32" s="14"/>
      <c r="I32" s="14"/>
      <c r="J32" s="14"/>
      <c r="K32" s="35"/>
    </row>
    <row r="33" spans="1:11" ht="12.75" x14ac:dyDescent="0.2">
      <c r="A33" s="14"/>
      <c r="B33" s="13"/>
      <c r="C33" s="14"/>
      <c r="D33" s="14"/>
      <c r="E33" s="34"/>
      <c r="F33" s="34"/>
      <c r="G33" s="34"/>
      <c r="H33" s="14"/>
      <c r="I33" s="14"/>
      <c r="J33" s="14"/>
      <c r="K33" s="35"/>
    </row>
  </sheetData>
  <mergeCells count="7">
    <mergeCell ref="C9:D9"/>
    <mergeCell ref="C10:D10"/>
    <mergeCell ref="A1:K1"/>
    <mergeCell ref="A2:K2"/>
    <mergeCell ref="C6:D6"/>
    <mergeCell ref="C7:D7"/>
    <mergeCell ref="C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Lge_Scratch</vt:lpstr>
      <vt:lpstr>Lge_NonAero</vt:lpstr>
      <vt:lpstr>Lge_Handicap</vt:lpstr>
      <vt:lpstr>Lge_Womens</vt:lpstr>
      <vt:lpstr>Lge_Veterans</vt:lpstr>
      <vt:lpstr>Lge_Junior</vt:lpstr>
      <vt:lpstr>Lge_Youth</vt:lpstr>
      <vt:lpstr>Input</vt:lpstr>
      <vt:lpstr>06 Apr</vt:lpstr>
      <vt:lpstr>18 Apr</vt:lpstr>
      <vt:lpstr>21 Apr</vt:lpstr>
      <vt:lpstr>08 Jun</vt:lpstr>
      <vt:lpstr>01 Jun</vt:lpstr>
      <vt:lpstr>29 Jun</vt:lpstr>
      <vt:lpstr>25 May</vt:lpstr>
      <vt:lpstr>20 Jul</vt:lpstr>
      <vt:lpstr>27 Jul</vt:lpstr>
      <vt:lpstr>16 Aug</vt:lpstr>
      <vt:lpstr>28 Sep</vt:lpstr>
      <vt:lpstr>15 Dec</vt:lpstr>
      <vt:lpstr>22 June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Matthew Stock</cp:lastModifiedBy>
  <dcterms:modified xsi:type="dcterms:W3CDTF">2025-08-14T06:22:37Z</dcterms:modified>
</cp:coreProperties>
</file>